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63677\Desktop\"/>
    </mc:Choice>
  </mc:AlternateContent>
  <xr:revisionPtr revIDLastSave="0" documentId="8_{CAB9F256-F115-4B75-AF98-AC167E75245A}" xr6:coauthVersionLast="36" xr6:coauthVersionMax="36" xr10:uidLastSave="{00000000-0000-0000-0000-000000000000}"/>
  <workbookProtection workbookAlgorithmName="SHA-512" workbookHashValue="x8bX9I/wWD9j0mRJOOW/OXRFlBSqr7AHB8wUanHKhqBRDON5w/gfE0pL8TF8P25EsK3rMSiiwvJuKfLHZY1dAA==" workbookSaltValue="2YkZXvesA1j7fJuESey4GQ==" workbookSpinCount="100000" lockStructure="1"/>
  <bookViews>
    <workbookView xWindow="0" yWindow="0" windowWidth="23040" windowHeight="9804" xr2:uid="{00000000-000D-0000-FFFF-FFFF00000000}"/>
  </bookViews>
  <sheets>
    <sheet name="Indtastning" sheetId="1" r:id="rId1"/>
    <sheet name="Data ar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36" i="1"/>
  <c r="D31" i="1"/>
  <c r="Q57" i="1" l="1"/>
  <c r="J4" i="2"/>
  <c r="H48" i="1" l="1"/>
  <c r="Q28" i="1" s="1"/>
  <c r="H47" i="1"/>
  <c r="Q27" i="1" s="1"/>
  <c r="D15" i="2" l="1"/>
  <c r="G27" i="1" l="1"/>
  <c r="E31" i="1"/>
  <c r="F31" i="1"/>
  <c r="E41" i="1"/>
  <c r="F41" i="1"/>
  <c r="D41" i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K17" i="1" s="1"/>
  <c r="G18" i="1"/>
  <c r="I18" i="1" s="1"/>
  <c r="G19" i="1"/>
  <c r="K19" i="1" s="1"/>
  <c r="G20" i="1"/>
  <c r="I20" i="1" s="1"/>
  <c r="G21" i="1"/>
  <c r="K21" i="1" s="1"/>
  <c r="G22" i="1"/>
  <c r="I22" i="1" s="1"/>
  <c r="G23" i="1"/>
  <c r="K23" i="1" s="1"/>
  <c r="G24" i="1"/>
  <c r="K24" i="1" s="1"/>
  <c r="G25" i="1"/>
  <c r="K25" i="1" s="1"/>
  <c r="G26" i="1"/>
  <c r="K26" i="1" s="1"/>
  <c r="G28" i="1"/>
  <c r="K28" i="1" s="1"/>
  <c r="M28" i="1" s="1"/>
  <c r="G29" i="1"/>
  <c r="K29" i="1" s="1"/>
  <c r="M29" i="1" s="1"/>
  <c r="G30" i="1"/>
  <c r="I30" i="1" s="1"/>
  <c r="G38" i="1"/>
  <c r="H38" i="1" s="1"/>
  <c r="G39" i="1"/>
  <c r="H39" i="1" s="1"/>
  <c r="G40" i="1"/>
  <c r="H40" i="1" s="1"/>
  <c r="G37" i="1"/>
  <c r="H37" i="1" s="1"/>
  <c r="M17" i="1"/>
  <c r="M18" i="1"/>
  <c r="M19" i="1"/>
  <c r="I27" i="1"/>
  <c r="K27" i="1"/>
  <c r="M27" i="1" s="1"/>
  <c r="I28" i="1" l="1"/>
  <c r="K18" i="1"/>
  <c r="I17" i="1"/>
  <c r="K16" i="1"/>
  <c r="M16" i="1" s="1"/>
  <c r="K15" i="1"/>
  <c r="M15" i="1" s="1"/>
  <c r="K13" i="1"/>
  <c r="M13" i="1" s="1"/>
  <c r="K12" i="1"/>
  <c r="M12" i="1" s="1"/>
  <c r="K11" i="1"/>
  <c r="M11" i="1" s="1"/>
  <c r="I29" i="1"/>
  <c r="K30" i="1"/>
  <c r="M30" i="1" s="1"/>
  <c r="G31" i="1"/>
  <c r="K14" i="1"/>
  <c r="M14" i="1" s="1"/>
  <c r="G41" i="1"/>
  <c r="I19" i="1"/>
  <c r="I26" i="1"/>
  <c r="M26" i="1" s="1"/>
  <c r="K22" i="1"/>
  <c r="M22" i="1" s="1"/>
  <c r="I25" i="1"/>
  <c r="M25" i="1" s="1"/>
  <c r="I24" i="1"/>
  <c r="M24" i="1" s="1"/>
  <c r="I23" i="1"/>
  <c r="M23" i="1" s="1"/>
  <c r="I21" i="1"/>
  <c r="M21" i="1" s="1"/>
  <c r="K20" i="1"/>
  <c r="M20" i="1" s="1"/>
  <c r="H41" i="1"/>
  <c r="G10" i="1"/>
  <c r="K10" i="1" s="1"/>
  <c r="I10" i="1" l="1"/>
  <c r="M10" i="1" s="1"/>
  <c r="M31" i="1" s="1"/>
  <c r="Q26" i="1" s="1"/>
  <c r="Q29" i="1" s="1"/>
</calcChain>
</file>

<file path=xl/sharedStrings.xml><?xml version="1.0" encoding="utf-8"?>
<sst xmlns="http://schemas.openxmlformats.org/spreadsheetml/2006/main" count="131" uniqueCount="67">
  <si>
    <t>Energiart</t>
  </si>
  <si>
    <t>Afgiftskategori</t>
  </si>
  <si>
    <t>Gennemsnit</t>
  </si>
  <si>
    <t>Raffinaderi</t>
  </si>
  <si>
    <t>Færger</t>
  </si>
  <si>
    <t>Energiforbrug i GJ</t>
  </si>
  <si>
    <t>Afgift efter</t>
  </si>
  <si>
    <t>Gas- og dieselolie</t>
  </si>
  <si>
    <t>Gas- og dieselolie med 6,8 pct. biobrændstoffer</t>
  </si>
  <si>
    <t>Fuelolie</t>
  </si>
  <si>
    <t>Fyringstjære</t>
  </si>
  <si>
    <t>Petroleum</t>
  </si>
  <si>
    <t>Stenkul (inkl. stenkulsbriketter), koks, cinders og koksgrus</t>
  </si>
  <si>
    <t>kr./ton</t>
  </si>
  <si>
    <t>kr./GJ</t>
  </si>
  <si>
    <t>Jordoliekoks</t>
  </si>
  <si>
    <t>Brunkulsbriketter og brunkul</t>
  </si>
  <si>
    <t>Autogas (LPG)</t>
  </si>
  <si>
    <t>Anden flaskegas (LPG)</t>
  </si>
  <si>
    <t>Raffinaderigas</t>
  </si>
  <si>
    <t>Naturgas og bygas med en nedre brændværdi på 39,6 MJ/Nm (CO2-afgift).</t>
  </si>
  <si>
    <t>Naturgas, der anvendes eller er bestemt til anvendelse som motorbrændstof i stationære stempelmotoranlæg i tillæg til CO2-afgift på naturgas (metanafgift)</t>
  </si>
  <si>
    <t>Benzin</t>
  </si>
  <si>
    <t>Benzin med 4,8 pct. biobrændstoffer</t>
  </si>
  <si>
    <t>Benzin med 9,8 pct. biobrændstoffer</t>
  </si>
  <si>
    <t>Ikke bionedbrydeligt affald anvendt som brændsel, afgift pr. ton udledt CO2</t>
  </si>
  <si>
    <t>Smøreolie o.lign.</t>
  </si>
  <si>
    <t>Biogas, der anvendes som motorbrændstof i stationære stempelmotoranlæg med en indfyret effekt på over 1.000 kW (metanafgift)</t>
  </si>
  <si>
    <t>Enhed</t>
  </si>
  <si>
    <t>Afgift Før</t>
  </si>
  <si>
    <t>Kvoteomfattet mineralogisk proces</t>
  </si>
  <si>
    <t>Ikke-kvoteomfattet alm. Proces</t>
  </si>
  <si>
    <t>Ikke-kvoteomfattet mineralogisk proces</t>
  </si>
  <si>
    <t>Kvoteomfattet alm. Proces</t>
  </si>
  <si>
    <t>Afgiftsbetaling før</t>
  </si>
  <si>
    <t>Afgiftsbetaling efter</t>
  </si>
  <si>
    <t>Stigning i afgiftsbetaling</t>
  </si>
  <si>
    <t>Gas- og dieselolie med 7,6 pct. biobrændstoffer</t>
  </si>
  <si>
    <t>M</t>
  </si>
  <si>
    <t>KG</t>
  </si>
  <si>
    <t>Driftsresultat</t>
  </si>
  <si>
    <t>Personaleomkostninger</t>
  </si>
  <si>
    <t>TOTAL</t>
  </si>
  <si>
    <t>Stigning i samlet afgiftsbetaling</t>
  </si>
  <si>
    <t>Fra årsregnskab</t>
  </si>
  <si>
    <t>kr.GJ</t>
  </si>
  <si>
    <t>t. CO2 /GJ</t>
  </si>
  <si>
    <t>GJ i alt</t>
  </si>
  <si>
    <t>t.CO2 i alt</t>
  </si>
  <si>
    <t>Grå felter beregnes automatisk</t>
  </si>
  <si>
    <r>
      <t>CO</t>
    </r>
    <r>
      <rPr>
        <b/>
        <vertAlign val="subscript"/>
        <sz val="11"/>
        <color theme="1"/>
        <rFont val="Calibri "/>
      </rPr>
      <t>2</t>
    </r>
    <r>
      <rPr>
        <b/>
        <sz val="11"/>
        <color theme="1"/>
        <rFont val="Calibri "/>
      </rPr>
      <t>-intensitet</t>
    </r>
  </si>
  <si>
    <r>
      <t>Naturgas og bygas med en nedre brændværdi på 39,6 MJ/Nm (CO</t>
    </r>
    <r>
      <rPr>
        <vertAlign val="subscript"/>
        <sz val="11"/>
        <color rgb="FF14143C"/>
        <rFont val="Calibri "/>
      </rPr>
      <t>2</t>
    </r>
    <r>
      <rPr>
        <sz val="11"/>
        <color rgb="FF14143C"/>
        <rFont val="Calibri "/>
      </rPr>
      <t>-afgift)</t>
    </r>
  </si>
  <si>
    <r>
      <t>Naturgas, der anvendes eller er bestemt til anvendelse som motorbrændstof i stationære stempelmotoranlæg i tillæg til CO</t>
    </r>
    <r>
      <rPr>
        <vertAlign val="subscript"/>
        <sz val="11"/>
        <color rgb="FF14143C"/>
        <rFont val="Calibri "/>
      </rPr>
      <t>2</t>
    </r>
    <r>
      <rPr>
        <sz val="11"/>
        <color rgb="FF14143C"/>
        <rFont val="Calibri "/>
      </rPr>
      <t>-afgift på naturgas (metanafgift)</t>
    </r>
  </si>
  <si>
    <r>
      <t>Ikke bionedbrydeligt affald anvendt som brændsel, afgift pr. ton udledt CO</t>
    </r>
    <r>
      <rPr>
        <vertAlign val="subscript"/>
        <sz val="11"/>
        <color rgb="FF14143C"/>
        <rFont val="Calibri "/>
      </rPr>
      <t>2</t>
    </r>
  </si>
  <si>
    <r>
      <t>t.CO</t>
    </r>
    <r>
      <rPr>
        <vertAlign val="subscript"/>
        <sz val="11"/>
        <color theme="1"/>
        <rFont val="Calibri "/>
      </rPr>
      <t>2</t>
    </r>
    <r>
      <rPr>
        <sz val="11"/>
        <color theme="1"/>
        <rFont val="Calibri "/>
      </rPr>
      <t xml:space="preserve"> total fra energi</t>
    </r>
  </si>
  <si>
    <r>
      <t>CO</t>
    </r>
    <r>
      <rPr>
        <b/>
        <vertAlign val="subscript"/>
        <sz val="11"/>
        <color theme="1"/>
        <rFont val="Calibri "/>
      </rPr>
      <t>2</t>
    </r>
    <r>
      <rPr>
        <b/>
        <sz val="11"/>
        <color theme="1"/>
        <rFont val="Calibri "/>
      </rPr>
      <t>-emissionsafgiftsbetaling</t>
    </r>
  </si>
  <si>
    <r>
      <t>Fossil CO</t>
    </r>
    <r>
      <rPr>
        <b/>
        <vertAlign val="subscript"/>
        <sz val="11"/>
        <color theme="1"/>
        <rFont val="Calibri "/>
      </rPr>
      <t>2</t>
    </r>
    <r>
      <rPr>
        <b/>
        <sz val="11"/>
        <color theme="1"/>
        <rFont val="Calibri "/>
      </rPr>
      <t>-udledning i udledningsrapport</t>
    </r>
  </si>
  <si>
    <r>
      <t>Data ark til beregningsark vedr. CO</t>
    </r>
    <r>
      <rPr>
        <vertAlign val="subscript"/>
        <sz val="14"/>
        <color theme="8"/>
        <rFont val="Verdana"/>
        <family val="2"/>
      </rPr>
      <t>2</t>
    </r>
    <r>
      <rPr>
        <sz val="14"/>
        <color theme="8"/>
        <rFont val="Verdana"/>
        <family val="2"/>
      </rPr>
      <t>-intensitet</t>
    </r>
  </si>
  <si>
    <r>
      <t>Bekendtgørelse om tilskud til CO</t>
    </r>
    <r>
      <rPr>
        <vertAlign val="subscript"/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Arial"/>
        <family val="2"/>
      </rPr>
      <t>-reduktioner i CO</t>
    </r>
    <r>
      <rPr>
        <vertAlign val="subscript"/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Arial"/>
        <family val="2"/>
      </rPr>
      <t>-intensive virksomheder</t>
    </r>
  </si>
  <si>
    <t xml:space="preserve">Gule felter udfyldes </t>
  </si>
  <si>
    <t xml:space="preserve">Omregner fra GJ til ton CO2 </t>
  </si>
  <si>
    <r>
      <t>1. Beregning af Energi- og CO</t>
    </r>
    <r>
      <rPr>
        <b/>
        <vertAlign val="subscript"/>
        <sz val="18"/>
        <color theme="1"/>
        <rFont val="Calibri "/>
      </rPr>
      <t>2</t>
    </r>
    <r>
      <rPr>
        <b/>
        <sz val="18"/>
        <color theme="1"/>
        <rFont val="Calibri "/>
      </rPr>
      <t>-afgiftsbetaling</t>
    </r>
  </si>
  <si>
    <r>
      <t>2. Beregning af CO</t>
    </r>
    <r>
      <rPr>
        <b/>
        <vertAlign val="subscript"/>
        <sz val="18"/>
        <color theme="1"/>
        <rFont val="Calibri "/>
      </rPr>
      <t>2</t>
    </r>
    <r>
      <rPr>
        <b/>
        <sz val="18"/>
        <color theme="1"/>
        <rFont val="Calibri "/>
      </rPr>
      <t>-emissionsafgiftsbetaling</t>
    </r>
  </si>
  <si>
    <t>3. Opgørelse af BVT</t>
  </si>
  <si>
    <t>4. CO2 intensitet</t>
  </si>
  <si>
    <t>version 13-02</t>
  </si>
  <si>
    <r>
      <t>Bilag til beregning af CO</t>
    </r>
    <r>
      <rPr>
        <vertAlign val="subscript"/>
        <sz val="26"/>
        <color theme="1"/>
        <rFont val="Verdana"/>
        <family val="2"/>
      </rPr>
      <t>2</t>
    </r>
    <r>
      <rPr>
        <sz val="26"/>
        <color theme="1"/>
        <rFont val="Verdana"/>
        <family val="2"/>
      </rPr>
      <t>-intensitet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</si>
</sst>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.&quot;_-;\-* #,##0.00\ &quot;kr.&quot;_-;_-* &quot;-&quot;??\ &quot;kr.&quot;_-;_-@_-"/>
    <numFmt numFmtId="43" formatCode="_-* #,##0.00\ _k_r_._-;\-* #,##0.00\ _k_r_._-;_-* &quot;-&quot;??\ _k_r_._-;_-@_-"/>
    <numFmt numFmtId="164" formatCode="_-* #,##0\ &quot;kr.&quot;_-;\-* #,##0\ &quot;kr.&quot;_-;_-* &quot;-&quot;??\ &quot;kr.&quot;_-;_-@_-"/>
    <numFmt numFmtId="165" formatCode="#,##0\ &quot;kr.&quot;"/>
    <numFmt numFmtId="166" formatCode="0.000%"/>
    <numFmt numFmtId="167" formatCode="_-* #,##0\ _k_r_._-;\-* #,##0\ _k_r_._-;_-* &quot;-&quot;??\ _k_r_._-;_-@_-"/>
    <numFmt numFmtId="168" formatCode="_-* #,##0.0\ &quot;kr.&quot;_-;\-* #,##0.0\ &quot;kr.&quot;_-;_-* &quot;-&quot;??\ &quot;kr.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14143C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4"/>
      <color theme="4" tint="-0.249977111117893"/>
      <name val="Verdana"/>
      <family val="2"/>
    </font>
    <font>
      <sz val="9"/>
      <color theme="1"/>
      <name val="Verdana"/>
      <family val="2"/>
    </font>
    <font>
      <sz val="11"/>
      <color theme="0" tint="-0.499984740745262"/>
      <name val="Arial"/>
      <family val="2"/>
    </font>
    <font>
      <sz val="14"/>
      <color theme="8"/>
      <name val="Verdana"/>
      <family val="2"/>
    </font>
    <font>
      <b/>
      <sz val="18"/>
      <color theme="1"/>
      <name val="Calibri "/>
    </font>
    <font>
      <sz val="11"/>
      <color theme="1"/>
      <name val="Calibri "/>
    </font>
    <font>
      <b/>
      <sz val="11"/>
      <color theme="1"/>
      <name val="Calibri "/>
    </font>
    <font>
      <sz val="11"/>
      <color rgb="FF14143C"/>
      <name val="Calibri "/>
    </font>
    <font>
      <b/>
      <vertAlign val="subscript"/>
      <sz val="18"/>
      <color theme="1"/>
      <name val="Calibri "/>
    </font>
    <font>
      <b/>
      <vertAlign val="subscript"/>
      <sz val="11"/>
      <color theme="1"/>
      <name val="Calibri "/>
    </font>
    <font>
      <vertAlign val="subscript"/>
      <sz val="11"/>
      <color rgb="FF14143C"/>
      <name val="Calibri "/>
    </font>
    <font>
      <vertAlign val="subscript"/>
      <sz val="11"/>
      <color theme="1"/>
      <name val="Calibri "/>
    </font>
    <font>
      <vertAlign val="subscript"/>
      <sz val="14"/>
      <color theme="8"/>
      <name val="Verdana"/>
      <family val="2"/>
    </font>
    <font>
      <vertAlign val="subscript"/>
      <sz val="11"/>
      <color theme="0" tint="-0.499984740745262"/>
      <name val="Arial"/>
      <family val="2"/>
    </font>
    <font>
      <sz val="26"/>
      <color theme="1"/>
      <name val="Verdana"/>
      <family val="2"/>
    </font>
    <font>
      <vertAlign val="subscript"/>
      <sz val="26"/>
      <color theme="1"/>
      <name val="Verdana"/>
      <family val="2"/>
    </font>
    <font>
      <b/>
      <sz val="11"/>
      <color theme="9" tint="0.59999389629810485"/>
      <name val="Arial"/>
      <family val="2"/>
    </font>
    <font>
      <sz val="11"/>
      <color theme="9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33">
    <xf numFmtId="0" fontId="0" fillId="0" borderId="0" xfId="0"/>
    <xf numFmtId="0" fontId="4" fillId="2" borderId="0" xfId="0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0" fontId="0" fillId="7" borderId="0" xfId="0" applyFill="1" applyProtection="1">
      <protection hidden="1"/>
    </xf>
    <xf numFmtId="0" fontId="6" fillId="7" borderId="0" xfId="4" applyFont="1" applyFill="1" applyAlignment="1" applyProtection="1">
      <protection hidden="1"/>
    </xf>
    <xf numFmtId="0" fontId="7" fillId="4" borderId="0" xfId="4" applyFont="1" applyFill="1" applyProtection="1">
      <protection hidden="1"/>
    </xf>
    <xf numFmtId="0" fontId="0" fillId="4" borderId="0" xfId="0" applyFill="1" applyProtection="1">
      <protection hidden="1"/>
    </xf>
    <xf numFmtId="0" fontId="4" fillId="6" borderId="0" xfId="0" applyFont="1" applyFill="1" applyBorder="1" applyProtection="1">
      <protection hidden="1"/>
    </xf>
    <xf numFmtId="0" fontId="12" fillId="5" borderId="2" xfId="0" applyFont="1" applyFill="1" applyBorder="1" applyProtection="1">
      <protection hidden="1"/>
    </xf>
    <xf numFmtId="0" fontId="11" fillId="3" borderId="0" xfId="0" applyFont="1" applyFill="1" applyBorder="1" applyProtection="1">
      <protection hidden="1"/>
    </xf>
    <xf numFmtId="0" fontId="11" fillId="4" borderId="0" xfId="0" applyFont="1" applyFill="1" applyBorder="1" applyProtection="1">
      <protection hidden="1"/>
    </xf>
    <xf numFmtId="0" fontId="11" fillId="4" borderId="12" xfId="0" applyFont="1" applyFill="1" applyBorder="1" applyProtection="1"/>
    <xf numFmtId="0" fontId="11" fillId="4" borderId="17" xfId="0" applyFont="1" applyFill="1" applyBorder="1" applyProtection="1"/>
    <xf numFmtId="1" fontId="11" fillId="4" borderId="1" xfId="0" applyNumberFormat="1" applyFont="1" applyFill="1" applyBorder="1" applyAlignment="1" applyProtection="1">
      <alignment horizontal="center" vertical="center"/>
    </xf>
    <xf numFmtId="164" fontId="11" fillId="4" borderId="1" xfId="1" applyNumberFormat="1" applyFont="1" applyFill="1" applyBorder="1" applyProtection="1"/>
    <xf numFmtId="44" fontId="11" fillId="4" borderId="1" xfId="1" applyFont="1" applyFill="1" applyBorder="1" applyProtection="1"/>
    <xf numFmtId="1" fontId="11" fillId="4" borderId="3" xfId="0" applyNumberFormat="1" applyFont="1" applyFill="1" applyBorder="1" applyAlignment="1" applyProtection="1">
      <alignment horizontal="center" vertical="center"/>
    </xf>
    <xf numFmtId="44" fontId="11" fillId="4" borderId="3" xfId="1" applyFont="1" applyFill="1" applyBorder="1" applyProtection="1"/>
    <xf numFmtId="164" fontId="12" fillId="4" borderId="2" xfId="0" applyNumberFormat="1" applyFont="1" applyFill="1" applyBorder="1" applyProtection="1"/>
    <xf numFmtId="164" fontId="11" fillId="4" borderId="1" xfId="0" applyNumberFormat="1" applyFont="1" applyFill="1" applyBorder="1" applyProtection="1"/>
    <xf numFmtId="0" fontId="12" fillId="4" borderId="2" xfId="0" applyFont="1" applyFill="1" applyBorder="1" applyProtection="1"/>
    <xf numFmtId="164" fontId="11" fillId="4" borderId="1" xfId="1" applyNumberFormat="1" applyFont="1" applyFill="1" applyBorder="1" applyAlignment="1" applyProtection="1">
      <alignment vertical="center"/>
    </xf>
    <xf numFmtId="164" fontId="11" fillId="4" borderId="3" xfId="1" applyNumberFormat="1" applyFont="1" applyFill="1" applyBorder="1" applyAlignment="1" applyProtection="1">
      <alignment vertical="center"/>
    </xf>
    <xf numFmtId="0" fontId="4" fillId="2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8" fillId="4" borderId="0" xfId="0" applyFont="1" applyFill="1" applyBorder="1" applyProtection="1">
      <protection hidden="1"/>
    </xf>
    <xf numFmtId="0" fontId="9" fillId="2" borderId="0" xfId="0" applyFont="1" applyFill="1" applyProtection="1">
      <protection hidden="1"/>
    </xf>
    <xf numFmtId="0" fontId="6" fillId="4" borderId="0" xfId="4" applyFont="1" applyFill="1" applyAlignment="1" applyProtection="1">
      <protection hidden="1"/>
    </xf>
    <xf numFmtId="0" fontId="7" fillId="4" borderId="0" xfId="4" applyFont="1" applyFill="1" applyAlignment="1" applyProtection="1">
      <alignment vertical="center"/>
      <protection hidden="1"/>
    </xf>
    <xf numFmtId="0" fontId="3" fillId="6" borderId="1" xfId="0" applyFont="1" applyFill="1" applyBorder="1" applyProtection="1">
      <protection hidden="1"/>
    </xf>
    <xf numFmtId="0" fontId="4" fillId="6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2" fontId="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0" xfId="0" applyFont="1" applyFill="1" applyBorder="1" applyAlignment="1" applyProtection="1">
      <alignment horizontal="left" vertical="center" wrapText="1"/>
      <protection hidden="1"/>
    </xf>
    <xf numFmtId="0" fontId="2" fillId="6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Protection="1">
      <protection hidden="1"/>
    </xf>
    <xf numFmtId="164" fontId="4" fillId="4" borderId="0" xfId="0" applyNumberFormat="1" applyFont="1" applyFill="1" applyBorder="1" applyProtection="1">
      <protection hidden="1"/>
    </xf>
    <xf numFmtId="0" fontId="2" fillId="6" borderId="4" xfId="0" applyFont="1" applyFill="1" applyBorder="1" applyAlignment="1" applyProtection="1">
      <alignment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6" borderId="7" xfId="0" applyFont="1" applyFill="1" applyBorder="1" applyAlignment="1" applyProtection="1">
      <alignment vertical="center" wrapText="1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hidden="1"/>
    </xf>
    <xf numFmtId="0" fontId="2" fillId="6" borderId="6" xfId="0" applyFont="1" applyFill="1" applyBorder="1" applyAlignment="1" applyProtection="1">
      <alignment vertical="center" wrapText="1"/>
      <protection hidden="1"/>
    </xf>
    <xf numFmtId="2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2" fontId="4" fillId="2" borderId="0" xfId="0" applyNumberFormat="1" applyFont="1" applyFill="1" applyBorder="1" applyProtection="1">
      <protection hidden="1"/>
    </xf>
    <xf numFmtId="2" fontId="2" fillId="4" borderId="0" xfId="0" applyNumberFormat="1" applyFont="1" applyFill="1" applyBorder="1" applyAlignment="1" applyProtection="1">
      <alignment horizontal="center" vertical="center" wrapText="1"/>
      <protection hidden="1"/>
    </xf>
    <xf numFmtId="2" fontId="4" fillId="4" borderId="0" xfId="0" applyNumberFormat="1" applyFont="1" applyFill="1" applyBorder="1" applyProtection="1">
      <protection hidden="1"/>
    </xf>
    <xf numFmtId="0" fontId="4" fillId="8" borderId="0" xfId="0" applyFont="1" applyFill="1" applyBorder="1" applyProtection="1">
      <protection hidden="1"/>
    </xf>
    <xf numFmtId="0" fontId="10" fillId="8" borderId="0" xfId="0" applyFont="1" applyFill="1" applyBorder="1" applyProtection="1">
      <protection hidden="1"/>
    </xf>
    <xf numFmtId="0" fontId="11" fillId="8" borderId="0" xfId="0" applyFont="1" applyFill="1" applyBorder="1" applyProtection="1">
      <protection hidden="1"/>
    </xf>
    <xf numFmtId="0" fontId="4" fillId="9" borderId="0" xfId="0" applyFont="1" applyFill="1" applyBorder="1" applyProtection="1">
      <protection hidden="1"/>
    </xf>
    <xf numFmtId="0" fontId="8" fillId="9" borderId="0" xfId="0" applyFont="1" applyFill="1" applyBorder="1" applyProtection="1">
      <protection hidden="1"/>
    </xf>
    <xf numFmtId="0" fontId="20" fillId="9" borderId="0" xfId="0" applyFont="1" applyFill="1" applyProtection="1">
      <protection hidden="1"/>
    </xf>
    <xf numFmtId="0" fontId="12" fillId="8" borderId="2" xfId="0" applyFont="1" applyFill="1" applyBorder="1" applyProtection="1">
      <protection hidden="1"/>
    </xf>
    <xf numFmtId="0" fontId="12" fillId="8" borderId="0" xfId="0" applyFont="1" applyFill="1" applyBorder="1" applyProtection="1">
      <protection hidden="1"/>
    </xf>
    <xf numFmtId="164" fontId="12" fillId="8" borderId="0" xfId="0" applyNumberFormat="1" applyFont="1" applyFill="1" applyBorder="1" applyProtection="1"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8" borderId="0" xfId="0" applyFont="1" applyFill="1" applyBorder="1" applyAlignment="1" applyProtection="1">
      <alignment horizontal="center" vertical="center"/>
      <protection hidden="1"/>
    </xf>
    <xf numFmtId="164" fontId="11" fillId="8" borderId="0" xfId="1" applyNumberFormat="1" applyFont="1" applyFill="1" applyBorder="1" applyAlignment="1" applyProtection="1">
      <alignment vertical="center"/>
      <protection hidden="1"/>
    </xf>
    <xf numFmtId="0" fontId="12" fillId="8" borderId="1" xfId="0" applyFont="1" applyFill="1" applyBorder="1" applyAlignment="1" applyProtection="1">
      <alignment vertical="center"/>
      <protection hidden="1"/>
    </xf>
    <xf numFmtId="0" fontId="12" fillId="8" borderId="3" xfId="0" applyFont="1" applyFill="1" applyBorder="1" applyProtection="1">
      <protection hidden="1"/>
    </xf>
    <xf numFmtId="0" fontId="12" fillId="8" borderId="1" xfId="0" applyFont="1" applyFill="1" applyBorder="1" applyProtection="1">
      <protection hidden="1"/>
    </xf>
    <xf numFmtId="0" fontId="12" fillId="8" borderId="1" xfId="0" applyFont="1" applyFill="1" applyBorder="1" applyAlignment="1" applyProtection="1">
      <alignment horizontal="center"/>
      <protection hidden="1"/>
    </xf>
    <xf numFmtId="164" fontId="11" fillId="8" borderId="1" xfId="0" applyNumberFormat="1" applyFont="1" applyFill="1" applyBorder="1" applyProtection="1">
      <protection hidden="1"/>
    </xf>
    <xf numFmtId="0" fontId="12" fillId="8" borderId="0" xfId="0" applyFont="1" applyFill="1" applyBorder="1" applyAlignment="1" applyProtection="1">
      <alignment horizontal="center"/>
      <protection hidden="1"/>
    </xf>
    <xf numFmtId="164" fontId="11" fillId="8" borderId="0" xfId="0" applyNumberFormat="1" applyFont="1" applyFill="1" applyBorder="1" applyProtection="1">
      <protection hidden="1"/>
    </xf>
    <xf numFmtId="43" fontId="11" fillId="8" borderId="0" xfId="3" applyFont="1" applyFill="1" applyBorder="1" applyProtection="1">
      <protection hidden="1"/>
    </xf>
    <xf numFmtId="0" fontId="12" fillId="8" borderId="8" xfId="0" applyFont="1" applyFill="1" applyBorder="1" applyAlignment="1" applyProtection="1">
      <alignment horizontal="center" wrapText="1"/>
      <protection hidden="1"/>
    </xf>
    <xf numFmtId="0" fontId="12" fillId="8" borderId="9" xfId="0" applyFont="1" applyFill="1" applyBorder="1" applyAlignment="1" applyProtection="1">
      <alignment horizontal="center"/>
      <protection hidden="1"/>
    </xf>
    <xf numFmtId="0" fontId="13" fillId="8" borderId="11" xfId="0" applyFont="1" applyFill="1" applyBorder="1" applyAlignment="1" applyProtection="1">
      <alignment vertical="center" wrapText="1"/>
      <protection hidden="1"/>
    </xf>
    <xf numFmtId="0" fontId="11" fillId="8" borderId="1" xfId="0" applyFont="1" applyFill="1" applyBorder="1" applyAlignment="1" applyProtection="1">
      <alignment vertical="center"/>
      <protection hidden="1"/>
    </xf>
    <xf numFmtId="0" fontId="13" fillId="8" borderId="13" xfId="0" applyFont="1" applyFill="1" applyBorder="1" applyAlignment="1" applyProtection="1">
      <alignment vertical="center" wrapText="1"/>
      <protection hidden="1"/>
    </xf>
    <xf numFmtId="0" fontId="11" fillId="8" borderId="14" xfId="0" applyFont="1" applyFill="1" applyBorder="1" applyAlignment="1" applyProtection="1">
      <alignment vertical="center"/>
      <protection hidden="1"/>
    </xf>
    <xf numFmtId="0" fontId="11" fillId="8" borderId="15" xfId="0" applyFont="1" applyFill="1" applyBorder="1" applyProtection="1">
      <protection hidden="1"/>
    </xf>
    <xf numFmtId="0" fontId="11" fillId="8" borderId="16" xfId="0" applyFont="1" applyFill="1" applyBorder="1" applyProtection="1">
      <protection hidden="1"/>
    </xf>
    <xf numFmtId="0" fontId="12" fillId="8" borderId="10" xfId="0" applyFont="1" applyFill="1" applyBorder="1" applyProtection="1">
      <protection hidden="1"/>
    </xf>
    <xf numFmtId="1" fontId="12" fillId="8" borderId="0" xfId="0" applyNumberFormat="1" applyFont="1" applyFill="1" applyBorder="1" applyAlignment="1" applyProtection="1">
      <alignment horizontal="center"/>
      <protection hidden="1"/>
    </xf>
    <xf numFmtId="1" fontId="12" fillId="8" borderId="0" xfId="0" applyNumberFormat="1" applyFont="1" applyFill="1" applyBorder="1" applyProtection="1">
      <protection hidden="1"/>
    </xf>
    <xf numFmtId="164" fontId="11" fillId="8" borderId="0" xfId="1" applyNumberFormat="1" applyFont="1" applyFill="1" applyBorder="1" applyProtection="1">
      <protection hidden="1"/>
    </xf>
    <xf numFmtId="44" fontId="11" fillId="8" borderId="0" xfId="1" applyFont="1" applyFill="1" applyBorder="1" applyProtection="1">
      <protection hidden="1"/>
    </xf>
    <xf numFmtId="0" fontId="22" fillId="6" borderId="0" xfId="0" applyFont="1" applyFill="1" applyProtection="1">
      <protection hidden="1"/>
    </xf>
    <xf numFmtId="0" fontId="23" fillId="6" borderId="0" xfId="0" applyFont="1" applyFill="1" applyProtection="1"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Protection="1"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center"/>
      <protection locked="0"/>
    </xf>
    <xf numFmtId="167" fontId="12" fillId="4" borderId="2" xfId="3" applyNumberFormat="1" applyFont="1" applyFill="1" applyBorder="1" applyAlignment="1" applyProtection="1">
      <alignment horizontal="center"/>
    </xf>
    <xf numFmtId="167" fontId="12" fillId="4" borderId="2" xfId="3" applyNumberFormat="1" applyFont="1" applyFill="1" applyBorder="1" applyProtection="1"/>
    <xf numFmtId="168" fontId="11" fillId="3" borderId="1" xfId="0" applyNumberFormat="1" applyFont="1" applyFill="1" applyBorder="1" applyProtection="1"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31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center"/>
      <protection locked="0"/>
    </xf>
    <xf numFmtId="0" fontId="11" fillId="8" borderId="21" xfId="0" applyFont="1" applyFill="1" applyBorder="1" applyAlignment="1" applyProtection="1">
      <alignment horizontal="center"/>
      <protection hidden="1"/>
    </xf>
    <xf numFmtId="0" fontId="11" fillId="8" borderId="32" xfId="0" applyFont="1" applyFill="1" applyBorder="1" applyAlignment="1" applyProtection="1">
      <alignment horizontal="center"/>
      <protection hidden="1"/>
    </xf>
    <xf numFmtId="0" fontId="11" fillId="8" borderId="33" xfId="0" applyFont="1" applyFill="1" applyBorder="1" applyAlignment="1" applyProtection="1">
      <alignment horizontal="center"/>
      <protection hidden="1"/>
    </xf>
    <xf numFmtId="0" fontId="13" fillId="8" borderId="13" xfId="0" applyFont="1" applyFill="1" applyBorder="1" applyAlignment="1" applyProtection="1">
      <alignment horizontal="left" vertical="center" wrapText="1"/>
      <protection hidden="1"/>
    </xf>
    <xf numFmtId="0" fontId="13" fillId="8" borderId="34" xfId="0" applyFont="1" applyFill="1" applyBorder="1" applyAlignment="1" applyProtection="1">
      <alignment horizontal="left" vertical="center" wrapText="1"/>
      <protection hidden="1"/>
    </xf>
    <xf numFmtId="0" fontId="11" fillId="8" borderId="14" xfId="0" applyFont="1" applyFill="1" applyBorder="1" applyAlignment="1" applyProtection="1">
      <alignment horizontal="right" vertical="center"/>
      <protection hidden="1"/>
    </xf>
    <xf numFmtId="0" fontId="11" fillId="8" borderId="2" xfId="0" applyFont="1" applyFill="1" applyBorder="1" applyAlignment="1" applyProtection="1">
      <alignment horizontal="right" vertical="center"/>
      <protection hidden="1"/>
    </xf>
    <xf numFmtId="164" fontId="11" fillId="4" borderId="1" xfId="0" applyNumberFormat="1" applyFont="1" applyFill="1" applyBorder="1" applyAlignment="1" applyProtection="1">
      <alignment horizontal="right" vertical="center"/>
    </xf>
    <xf numFmtId="165" fontId="11" fillId="4" borderId="1" xfId="0" applyNumberFormat="1" applyFont="1" applyFill="1" applyBorder="1" applyAlignment="1" applyProtection="1">
      <alignment horizontal="right" vertical="center"/>
    </xf>
    <xf numFmtId="165" fontId="11" fillId="4" borderId="1" xfId="0" applyNumberFormat="1" applyFont="1" applyFill="1" applyBorder="1" applyAlignment="1" applyProtection="1">
      <alignment horizontal="right"/>
    </xf>
    <xf numFmtId="166" fontId="12" fillId="5" borderId="1" xfId="2" applyNumberFormat="1" applyFont="1" applyFill="1" applyBorder="1" applyAlignment="1" applyProtection="1">
      <alignment horizontal="right"/>
    </xf>
    <xf numFmtId="0" fontId="11" fillId="3" borderId="19" xfId="0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center"/>
      <protection locked="0"/>
    </xf>
    <xf numFmtId="0" fontId="10" fillId="8" borderId="0" xfId="0" applyFont="1" applyFill="1" applyBorder="1" applyAlignment="1" applyProtection="1">
      <alignment horizontal="left"/>
      <protection hidden="1"/>
    </xf>
    <xf numFmtId="0" fontId="10" fillId="8" borderId="35" xfId="0" applyFont="1" applyFill="1" applyBorder="1" applyAlignment="1" applyProtection="1">
      <alignment horizontal="left"/>
      <protection hidden="1"/>
    </xf>
    <xf numFmtId="164" fontId="11" fillId="4" borderId="19" xfId="1" applyNumberFormat="1" applyFont="1" applyFill="1" applyBorder="1" applyAlignment="1" applyProtection="1">
      <alignment horizontal="center" vertical="center"/>
    </xf>
    <xf numFmtId="164" fontId="11" fillId="4" borderId="25" xfId="1" applyNumberFormat="1" applyFont="1" applyFill="1" applyBorder="1" applyAlignment="1" applyProtection="1">
      <alignment horizontal="center" vertical="center"/>
    </xf>
    <xf numFmtId="164" fontId="11" fillId="4" borderId="26" xfId="1" applyNumberFormat="1" applyFont="1" applyFill="1" applyBorder="1" applyAlignment="1" applyProtection="1">
      <alignment horizontal="center" vertical="center"/>
    </xf>
    <xf numFmtId="164" fontId="11" fillId="4" borderId="27" xfId="1" applyNumberFormat="1" applyFont="1" applyFill="1" applyBorder="1" applyAlignment="1" applyProtection="1">
      <alignment horizontal="center" vertical="center"/>
    </xf>
    <xf numFmtId="0" fontId="12" fillId="8" borderId="18" xfId="0" applyFont="1" applyFill="1" applyBorder="1" applyAlignment="1" applyProtection="1">
      <alignment horizontal="center"/>
      <protection hidden="1"/>
    </xf>
    <xf numFmtId="0" fontId="12" fillId="8" borderId="28" xfId="0" applyFont="1" applyFill="1" applyBorder="1" applyAlignment="1" applyProtection="1">
      <alignment horizontal="center"/>
      <protection hidden="1"/>
    </xf>
    <xf numFmtId="0" fontId="12" fillId="8" borderId="29" xfId="0" applyFont="1" applyFill="1" applyBorder="1" applyAlignment="1" applyProtection="1">
      <alignment horizontal="center"/>
      <protection hidden="1"/>
    </xf>
    <xf numFmtId="0" fontId="12" fillId="8" borderId="20" xfId="0" applyFont="1" applyFill="1" applyBorder="1" applyAlignment="1" applyProtection="1">
      <alignment horizontal="center" vertical="center"/>
      <protection hidden="1"/>
    </xf>
    <xf numFmtId="0" fontId="12" fillId="8" borderId="22" xfId="0" applyFont="1" applyFill="1" applyBorder="1" applyAlignment="1" applyProtection="1">
      <alignment horizontal="center" vertical="center"/>
      <protection hidden="1"/>
    </xf>
    <xf numFmtId="0" fontId="12" fillId="8" borderId="23" xfId="0" applyFont="1" applyFill="1" applyBorder="1" applyAlignment="1" applyProtection="1">
      <alignment horizontal="center" vertical="center"/>
      <protection hidden="1"/>
    </xf>
    <xf numFmtId="0" fontId="12" fillId="8" borderId="24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</cellXfs>
  <cellStyles count="5">
    <cellStyle name="Komma" xfId="3" builtinId="3"/>
    <cellStyle name="Normal" xfId="0" builtinId="0"/>
    <cellStyle name="Normal 2" xfId="4" xr:uid="{AF87E0B4-C853-4DD3-951A-46FE7DC21106}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703036</xdr:colOff>
      <xdr:row>0</xdr:row>
      <xdr:rowOff>22680</xdr:rowOff>
    </xdr:from>
    <xdr:to>
      <xdr:col>17</xdr:col>
      <xdr:colOff>3968</xdr:colOff>
      <xdr:row>3</xdr:row>
      <xdr:rowOff>29595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1C4FF5F-48C6-4A75-97AC-7CB1085BE6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13536" y="22680"/>
          <a:ext cx="1936579" cy="551201"/>
        </a:xfrm>
        <a:prstGeom prst="rect">
          <a:avLst/>
        </a:prstGeom>
      </xdr:spPr>
    </xdr:pic>
    <xdr:clientData/>
  </xdr:twoCellAnchor>
  <xdr:twoCellAnchor>
    <xdr:from>
      <xdr:col>14</xdr:col>
      <xdr:colOff>326573</xdr:colOff>
      <xdr:row>6</xdr:row>
      <xdr:rowOff>217713</xdr:rowOff>
    </xdr:from>
    <xdr:to>
      <xdr:col>20</xdr:col>
      <xdr:colOff>127000</xdr:colOff>
      <xdr:row>19</xdr:row>
      <xdr:rowOff>18141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F7F6E43F-D4A2-4641-BA5D-13497EA74243}"/>
            </a:ext>
          </a:extLst>
        </xdr:cNvPr>
        <xdr:cNvSpPr txBox="1"/>
      </xdr:nvSpPr>
      <xdr:spPr>
        <a:xfrm>
          <a:off x="18106573" y="1660070"/>
          <a:ext cx="6894284" cy="244928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accent1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15000"/>
            </a:lnSpc>
          </a:pPr>
          <a:r>
            <a:rPr lang="da-DK" sz="1200" b="1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Anvendelsesområde:</a:t>
          </a:r>
          <a:br>
            <a:rPr lang="da-DK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da-DK" sz="11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Dette bilag bruges til at fastsætte CO2-intensiteten, som udgør forholdet mellem virksomhedens afgiftsstigning og bruttoværditilvækst.</a:t>
          </a:r>
        </a:p>
        <a:p>
          <a:pPr>
            <a:lnSpc>
              <a:spcPct val="115000"/>
            </a:lnSpc>
          </a:pPr>
          <a:endParaRPr lang="da-DK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15000"/>
            </a:lnSpc>
          </a:pPr>
          <a:r>
            <a:rPr lang="da-DK" sz="11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Bilaget er obligatorisk og skal udfyldes af en revisor i henhold til revisionsinstruksen for dokumentation af CO2-intensiteten. Ved ansøgning om tilsagn skal bilaget vedlægges sammen med en revisorerklæring.</a:t>
          </a:r>
        </a:p>
        <a:p>
          <a:pPr>
            <a:lnSpc>
              <a:spcPct val="115000"/>
            </a:lnSpc>
          </a:pPr>
          <a:endParaRPr lang="da-DK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15000"/>
            </a:lnSpc>
          </a:pPr>
          <a:r>
            <a:rPr lang="da-DK" sz="11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For at være berettiget til Investeringsstøtten skal virksomheden have en CO2-intensitet på mindst 2,3 %. Hvis virksomhedens CO2-intensitet er højere, behøver revisor kun at udfylde skemaet op til grænsen på 2,3 %. </a:t>
          </a:r>
          <a:endParaRPr lang="da-DK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1462386</xdr:colOff>
      <xdr:row>0</xdr:row>
      <xdr:rowOff>46633</xdr:rowOff>
    </xdr:from>
    <xdr:to>
      <xdr:col>9</xdr:col>
      <xdr:colOff>482776</xdr:colOff>
      <xdr:row>3</xdr:row>
      <xdr:rowOff>74422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5D240F2-8BD4-49F0-96B7-69A8D37B3C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6768" y="46633"/>
          <a:ext cx="1821204" cy="62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showGridLines="0" tabSelected="1" zoomScale="96" zoomScaleNormal="145" workbookViewId="0">
      <selection activeCell="D37" sqref="D37"/>
    </sheetView>
  </sheetViews>
  <sheetFormatPr defaultColWidth="9.109375" defaultRowHeight="13.8"/>
  <cols>
    <col min="1" max="1" width="9.109375" style="3"/>
    <col min="2" max="2" width="6.109375" style="3" customWidth="1"/>
    <col min="3" max="3" width="44.5546875" style="3" customWidth="1"/>
    <col min="4" max="6" width="22.6640625" style="3" customWidth="1"/>
    <col min="7" max="7" width="17" style="3" bestFit="1" customWidth="1"/>
    <col min="8" max="8" width="36" style="3" bestFit="1" customWidth="1"/>
    <col min="9" max="9" width="6.109375" style="3" customWidth="1"/>
    <col min="10" max="10" width="18" style="3" customWidth="1"/>
    <col min="11" max="11" width="6.109375" style="3" customWidth="1"/>
    <col min="12" max="12" width="25.44140625" style="3" bestFit="1" customWidth="1"/>
    <col min="13" max="13" width="30" style="3" bestFit="1" customWidth="1"/>
    <col min="14" max="14" width="6" style="3" customWidth="1"/>
    <col min="15" max="15" width="8.6640625" style="3" customWidth="1"/>
    <col min="16" max="16" width="30.44140625" style="3" bestFit="1" customWidth="1"/>
    <col min="17" max="17" width="38.33203125" style="3" bestFit="1" customWidth="1"/>
    <col min="18" max="18" width="6.109375" style="3" customWidth="1"/>
    <col min="19" max="19" width="6" style="3" customWidth="1"/>
    <col min="20" max="20" width="12" style="3" customWidth="1"/>
    <col min="21" max="21" width="6.109375" style="3" customWidth="1"/>
    <col min="22" max="16384" width="9.109375" style="3"/>
  </cols>
  <sheetData>
    <row r="1" spans="1:31">
      <c r="A1" s="55"/>
      <c r="B1" s="55"/>
      <c r="C1" s="55"/>
      <c r="D1" s="55"/>
      <c r="E1" s="55"/>
      <c r="F1" s="55"/>
      <c r="G1" s="55"/>
      <c r="H1" s="56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31">
      <c r="A2" s="55"/>
      <c r="B2" s="55"/>
      <c r="C2" s="55"/>
      <c r="D2" s="55"/>
      <c r="E2" s="55"/>
      <c r="F2" s="55"/>
      <c r="G2" s="55"/>
      <c r="H2" s="55"/>
      <c r="I2" s="56"/>
      <c r="J2" s="56"/>
      <c r="K2" s="56"/>
      <c r="L2" s="56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3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31" ht="37.799999999999997">
      <c r="A4" s="55"/>
      <c r="B4" s="57" t="s">
        <v>66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31" ht="14.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 t="s">
        <v>65</v>
      </c>
      <c r="R5" s="55"/>
      <c r="S5" s="55"/>
      <c r="T5" s="55"/>
      <c r="U5" s="55"/>
      <c r="V5" s="55"/>
      <c r="W5" s="6"/>
      <c r="X5" s="6"/>
      <c r="Y5" s="6"/>
      <c r="Z5" s="7"/>
      <c r="AA5" s="7"/>
      <c r="AB5" s="7"/>
      <c r="AC5" s="7"/>
      <c r="AD5" s="7"/>
      <c r="AE5" s="7"/>
    </row>
    <row r="6" spans="1:3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31" ht="31.5" customHeight="1">
      <c r="A7" s="55"/>
      <c r="B7" s="52"/>
      <c r="C7" s="53" t="s">
        <v>61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2"/>
      <c r="Q7" s="52"/>
      <c r="R7" s="52"/>
      <c r="S7" s="52"/>
      <c r="T7" s="52"/>
      <c r="U7" s="52"/>
      <c r="V7" s="55"/>
    </row>
    <row r="8" spans="1:31">
      <c r="A8" s="55"/>
      <c r="B8" s="54"/>
      <c r="C8" s="132" t="s">
        <v>0</v>
      </c>
      <c r="D8" s="132" t="s">
        <v>5</v>
      </c>
      <c r="E8" s="132"/>
      <c r="F8" s="132"/>
      <c r="G8" s="132" t="s">
        <v>2</v>
      </c>
      <c r="H8" s="132" t="s">
        <v>1</v>
      </c>
      <c r="I8" s="128" t="s">
        <v>34</v>
      </c>
      <c r="J8" s="129"/>
      <c r="K8" s="128" t="s">
        <v>35</v>
      </c>
      <c r="L8" s="129"/>
      <c r="M8" s="132" t="s">
        <v>36</v>
      </c>
      <c r="N8" s="62"/>
      <c r="O8" s="62"/>
      <c r="P8" s="52"/>
      <c r="Q8" s="52"/>
      <c r="R8" s="52"/>
      <c r="S8" s="52"/>
      <c r="T8" s="52"/>
      <c r="U8" s="52"/>
      <c r="V8" s="55"/>
    </row>
    <row r="9" spans="1:31">
      <c r="A9" s="55"/>
      <c r="B9" s="54"/>
      <c r="C9" s="132"/>
      <c r="D9" s="61">
        <v>2021</v>
      </c>
      <c r="E9" s="61">
        <v>2022</v>
      </c>
      <c r="F9" s="61">
        <v>2023</v>
      </c>
      <c r="G9" s="132"/>
      <c r="H9" s="132"/>
      <c r="I9" s="130"/>
      <c r="J9" s="131"/>
      <c r="K9" s="130"/>
      <c r="L9" s="131"/>
      <c r="M9" s="132"/>
      <c r="N9" s="62"/>
      <c r="O9" s="62"/>
      <c r="P9" s="52"/>
      <c r="Q9" s="52"/>
      <c r="R9" s="52"/>
      <c r="S9" s="52"/>
      <c r="T9" s="52"/>
      <c r="U9" s="52"/>
      <c r="V9" s="55"/>
    </row>
    <row r="10" spans="1:31">
      <c r="A10" s="55"/>
      <c r="B10" s="54"/>
      <c r="C10" s="87"/>
      <c r="D10" s="88"/>
      <c r="E10" s="88"/>
      <c r="F10" s="88"/>
      <c r="G10" s="14" t="e">
        <f>AVERAGE(D10:F10)</f>
        <v>#DIV/0!</v>
      </c>
      <c r="H10" s="88"/>
      <c r="I10" s="121" t="e">
        <f>IF(OR(H10="Kvoteomfattet alm. Proces",H10="Kvoteomfattet mineralogisk proces",H10="Færger",H10="Raffinaderi"),0,
VLOOKUP(C10,'Data ark'!$B$7:$E$26,3,FALSE)*G10)+
IF(OR(H10="Kvoteomfattet mineralogisk proces",H10="Ikke-kvoteomfattet mineralogisk proces"),G10*6.8,
IF(OR(H10="Raffinaderi",H10="Færger"),0,G10*11.9))</f>
        <v>#N/A</v>
      </c>
      <c r="J10" s="122"/>
      <c r="K10" s="121" t="e">
        <f>IF(OR(H10="Kvoteomfattet alm. Proces",H10="Kvoteomfattet mineralogisk proces",H10="Færger",H10="Raffinaderi"),0,
VLOOKUP(C10,'Data ark'!$B$7:$E$26,4,FALSE)*G10)+
IF(H10="Kvoteomfattet alm. Proces",IF(VLOOKUP(C10,'Data ark'!$B$7:$F$26,5,FALSE)="M",Indtastning!G10*4.5,Indtastning!G10*1.2),0)</f>
        <v>#N/A</v>
      </c>
      <c r="L10" s="122"/>
      <c r="M10" s="22">
        <f t="shared" ref="M10:M30" si="0">IF(C10="",0,K10-I10)</f>
        <v>0</v>
      </c>
      <c r="N10" s="63"/>
      <c r="O10" s="63"/>
      <c r="P10" s="52"/>
      <c r="Q10" s="52"/>
      <c r="R10" s="52"/>
      <c r="S10" s="52"/>
      <c r="T10" s="52"/>
      <c r="U10" s="52"/>
      <c r="V10" s="55"/>
    </row>
    <row r="11" spans="1:31">
      <c r="A11" s="55"/>
      <c r="B11" s="54"/>
      <c r="C11" s="87"/>
      <c r="D11" s="89"/>
      <c r="E11" s="89"/>
      <c r="F11" s="89"/>
      <c r="G11" s="14" t="e">
        <f t="shared" ref="G11:G30" si="1">AVERAGE(D11:F11)</f>
        <v>#DIV/0!</v>
      </c>
      <c r="H11" s="88"/>
      <c r="I11" s="121" t="e">
        <f>IF(OR(H11="Kvoteomfattet alm. Proces",H11="Kvoteomfattet mineralogisk proces",H11="Færger",H11="Raffinaderi"),0,
VLOOKUP(C11,'Data ark'!$B$7:$E$26,3,FALSE)*G11)+
IF(OR(H11="Kvoteomfattet mineralogisk proces",H11="Ikke-kvoteomfattet mineralogisk proces"),G11*6.8,
IF(OR(H11="Raffinaderi",H11="Færger"),0,G11*11.9))</f>
        <v>#N/A</v>
      </c>
      <c r="J11" s="122"/>
      <c r="K11" s="121" t="e">
        <f>IF(OR(H11="Kvoteomfattet alm. Proces",H11="Kvoteomfattet mineralogisk proces",H11="Færger",H11="Raffinaderi"),0,
VLOOKUP(C11,'Data ark'!$B$7:$E$26,4,FALSE)*G11)+
IF(H11="Kvoteomfattet alm. Proces",IF(VLOOKUP(C11,'Data ark'!$B$7:$F$26,5,FALSE)="M",Indtastning!G11*4.5,Indtastning!G11*1.2),0)</f>
        <v>#N/A</v>
      </c>
      <c r="L11" s="122"/>
      <c r="M11" s="22">
        <f t="shared" si="0"/>
        <v>0</v>
      </c>
      <c r="N11" s="63"/>
      <c r="O11" s="63"/>
      <c r="P11" s="52"/>
      <c r="Q11" s="52"/>
      <c r="R11" s="52"/>
      <c r="S11" s="52"/>
      <c r="T11" s="52"/>
      <c r="U11" s="52"/>
      <c r="V11" s="55"/>
    </row>
    <row r="12" spans="1:31" ht="15" customHeight="1">
      <c r="A12" s="55"/>
      <c r="B12" s="54"/>
      <c r="C12" s="87"/>
      <c r="D12" s="90"/>
      <c r="E12" s="90"/>
      <c r="F12" s="90"/>
      <c r="G12" s="14" t="e">
        <f t="shared" si="1"/>
        <v>#DIV/0!</v>
      </c>
      <c r="H12" s="93"/>
      <c r="I12" s="121" t="e">
        <f>IF(OR(H12="Kvoteomfattet alm. Proces",H12="Kvoteomfattet mineralogisk proces",H12="Færger",H12="Raffinaderi"),0,
VLOOKUP(C12,'Data ark'!$B$7:$E$26,3,FALSE)*G12)+
IF(OR(H12="Kvoteomfattet mineralogisk proces",H12="Ikke-kvoteomfattet mineralogisk proces"),G12*6.8,
IF(OR(H12="Raffinaderi",H12="Færger"),0,G12*11.9))</f>
        <v>#N/A</v>
      </c>
      <c r="J12" s="122"/>
      <c r="K12" s="121" t="e">
        <f>IF(OR(H12="Kvoteomfattet alm. Proces",H12="Kvoteomfattet mineralogisk proces",H12="Færger",H12="Raffinaderi"),0,
VLOOKUP(C12,'Data ark'!$B$7:$E$26,4,FALSE)*G12)+
IF(H12="Kvoteomfattet alm. Proces",IF(VLOOKUP(C12,'Data ark'!$B$7:$F$26,5,FALSE)="M",Indtastning!G12*4.5,Indtastning!G12*1.2),0)</f>
        <v>#N/A</v>
      </c>
      <c r="L12" s="122"/>
      <c r="M12" s="22">
        <f t="shared" si="0"/>
        <v>0</v>
      </c>
      <c r="N12" s="63"/>
      <c r="O12" s="63"/>
      <c r="P12" s="52"/>
      <c r="Q12" s="52"/>
      <c r="R12" s="52"/>
      <c r="S12" s="52"/>
      <c r="T12" s="52"/>
      <c r="U12" s="52"/>
      <c r="V12" s="55"/>
    </row>
    <row r="13" spans="1:31" ht="15" customHeight="1">
      <c r="A13" s="55"/>
      <c r="B13" s="54"/>
      <c r="C13" s="87"/>
      <c r="D13" s="90"/>
      <c r="E13" s="90"/>
      <c r="F13" s="90"/>
      <c r="G13" s="14" t="e">
        <f t="shared" si="1"/>
        <v>#DIV/0!</v>
      </c>
      <c r="H13" s="93"/>
      <c r="I13" s="121" t="e">
        <f>IF(OR(H13="Kvoteomfattet alm. Proces",H13="Kvoteomfattet mineralogisk proces",H13="Færger",H13="Raffinaderi"),0,
VLOOKUP(C13,'Data ark'!$B$7:$E$26,3,FALSE)*G13)+
IF(OR(H13="Kvoteomfattet mineralogisk proces",H13="Ikke-kvoteomfattet mineralogisk proces"),G13*6.8,
IF(OR(H13="Raffinaderi",H13="Færger"),0,G13*11.9))</f>
        <v>#N/A</v>
      </c>
      <c r="J13" s="122"/>
      <c r="K13" s="121" t="e">
        <f>IF(OR(H13="Kvoteomfattet alm. Proces",H13="Kvoteomfattet mineralogisk proces",H13="Færger",H13="Raffinaderi"),0,
VLOOKUP(C13,'Data ark'!$B$7:$E$26,4,FALSE)*G13)+
IF(H13="Kvoteomfattet alm. Proces",IF(VLOOKUP(C13,'Data ark'!$B$7:$F$26,5,FALSE)="M",Indtastning!G13*4.5,Indtastning!G13*1.2),0)</f>
        <v>#N/A</v>
      </c>
      <c r="L13" s="122"/>
      <c r="M13" s="22">
        <f t="shared" si="0"/>
        <v>0</v>
      </c>
      <c r="N13" s="63"/>
      <c r="O13" s="63"/>
      <c r="P13" s="52"/>
      <c r="Q13" s="52"/>
      <c r="R13" s="52"/>
      <c r="S13" s="52"/>
      <c r="T13" s="52"/>
      <c r="U13" s="52"/>
      <c r="V13" s="55"/>
    </row>
    <row r="14" spans="1:31" ht="15" customHeight="1">
      <c r="A14" s="55"/>
      <c r="B14" s="54"/>
      <c r="C14" s="87"/>
      <c r="D14" s="90"/>
      <c r="E14" s="90"/>
      <c r="F14" s="90"/>
      <c r="G14" s="14" t="e">
        <f t="shared" si="1"/>
        <v>#DIV/0!</v>
      </c>
      <c r="H14" s="93"/>
      <c r="I14" s="121" t="e">
        <f>IF(OR(H14="Kvoteomfattet alm. Proces",H14="Kvoteomfattet mineralogisk proces",H14="Færger",H14="Raffinaderi"),0,
VLOOKUP(C14,'Data ark'!$B$7:$E$26,3,FALSE)*G14)+
IF(OR(H14="Kvoteomfattet mineralogisk proces",H14="Ikke-kvoteomfattet mineralogisk proces"),G14*6.8,
IF(OR(H14="Raffinaderi",H14="Færger"),0,G14*11.9))</f>
        <v>#N/A</v>
      </c>
      <c r="J14" s="122"/>
      <c r="K14" s="121" t="e">
        <f>IF(OR(H14="Kvoteomfattet alm. Proces",H14="Kvoteomfattet mineralogisk proces",H14="Færger",H14="Raffinaderi"),0,
VLOOKUP(C14,'Data ark'!$B$7:$E$26,4,FALSE)*G14)+
IF(H14="Kvoteomfattet alm. Proces",IF(VLOOKUP(C14,'Data ark'!$B$7:$F$26,5,FALSE)="M",Indtastning!G14*4.5,Indtastning!G14*1.2),0)</f>
        <v>#N/A</v>
      </c>
      <c r="L14" s="122"/>
      <c r="M14" s="22">
        <f t="shared" si="0"/>
        <v>0</v>
      </c>
      <c r="N14" s="63"/>
      <c r="O14" s="63"/>
      <c r="P14" s="52"/>
      <c r="Q14" s="52"/>
      <c r="R14" s="52"/>
      <c r="S14" s="52"/>
      <c r="T14" s="52"/>
      <c r="U14" s="52"/>
      <c r="V14" s="55"/>
    </row>
    <row r="15" spans="1:31" ht="15" customHeight="1">
      <c r="A15" s="55"/>
      <c r="B15" s="54"/>
      <c r="C15" s="87"/>
      <c r="D15" s="90"/>
      <c r="E15" s="90"/>
      <c r="F15" s="90"/>
      <c r="G15" s="14" t="e">
        <f t="shared" si="1"/>
        <v>#DIV/0!</v>
      </c>
      <c r="H15" s="93"/>
      <c r="I15" s="121" t="e">
        <f>IF(OR(H15="Kvoteomfattet alm. Proces",H15="Kvoteomfattet mineralogisk proces",H15="Færger",H15="Raffinaderi"),0,
VLOOKUP(C15,'Data ark'!$B$7:$E$26,3,FALSE)*G15)+
IF(OR(H15="Kvoteomfattet mineralogisk proces",H15="Ikke-kvoteomfattet mineralogisk proces"),G15*6.8,
IF(OR(H15="Raffinaderi",H15="Færger"),0,G15*11.9))</f>
        <v>#N/A</v>
      </c>
      <c r="J15" s="122"/>
      <c r="K15" s="121" t="e">
        <f>IF(OR(H15="Kvoteomfattet alm. Proces",H15="Kvoteomfattet mineralogisk proces",H15="Færger",H15="Raffinaderi"),0,
VLOOKUP(C15,'Data ark'!$B$7:$E$26,4,FALSE)*G15)+
IF(H15="Kvoteomfattet alm. Proces",IF(VLOOKUP(C15,'Data ark'!$B$7:$F$26,5,FALSE)="M",Indtastning!G15*4.5,Indtastning!G15*1.2),0)</f>
        <v>#N/A</v>
      </c>
      <c r="L15" s="122"/>
      <c r="M15" s="22">
        <f t="shared" si="0"/>
        <v>0</v>
      </c>
      <c r="N15" s="63"/>
      <c r="O15" s="63"/>
      <c r="P15" s="52"/>
      <c r="Q15" s="52"/>
      <c r="R15" s="52"/>
      <c r="S15" s="52"/>
      <c r="T15" s="52"/>
      <c r="U15" s="52"/>
      <c r="V15" s="55"/>
    </row>
    <row r="16" spans="1:31" ht="15" customHeight="1">
      <c r="A16" s="55"/>
      <c r="B16" s="54"/>
      <c r="C16" s="87"/>
      <c r="D16" s="90"/>
      <c r="E16" s="90"/>
      <c r="F16" s="90"/>
      <c r="G16" s="14" t="e">
        <f t="shared" si="1"/>
        <v>#DIV/0!</v>
      </c>
      <c r="H16" s="93"/>
      <c r="I16" s="121" t="e">
        <f>IF(OR(H16="Kvoteomfattet alm. Proces",H16="Kvoteomfattet mineralogisk proces",H16="Færger",H16="Raffinaderi"),0,
VLOOKUP(C16,'Data ark'!$B$7:$E$26,3,FALSE)*G16)+
IF(OR(H16="Kvoteomfattet mineralogisk proces",H16="Ikke-kvoteomfattet mineralogisk proces"),G16*6.8,
IF(OR(H16="Raffinaderi",H16="Færger"),0,G16*11.9))</f>
        <v>#N/A</v>
      </c>
      <c r="J16" s="122"/>
      <c r="K16" s="121" t="e">
        <f>IF(OR(H16="Kvoteomfattet alm. Proces",H16="Kvoteomfattet mineralogisk proces",H16="Færger",H16="Raffinaderi"),0,
VLOOKUP(C16,'Data ark'!$B$7:$E$26,4,FALSE)*G16)+
IF(H16="Kvoteomfattet alm. Proces",IF(VLOOKUP(C16,'Data ark'!$B$7:$F$26,5,FALSE)="M",Indtastning!G16*4.5,Indtastning!G16*1.2),0)</f>
        <v>#N/A</v>
      </c>
      <c r="L16" s="122"/>
      <c r="M16" s="22">
        <f t="shared" si="0"/>
        <v>0</v>
      </c>
      <c r="N16" s="63"/>
      <c r="O16" s="63"/>
      <c r="P16" s="52"/>
      <c r="Q16" s="52"/>
      <c r="R16" s="52"/>
      <c r="S16" s="52"/>
      <c r="T16" s="52"/>
      <c r="U16" s="52"/>
      <c r="V16" s="55"/>
    </row>
    <row r="17" spans="1:22" ht="15" customHeight="1">
      <c r="A17" s="55"/>
      <c r="B17" s="54"/>
      <c r="C17" s="87"/>
      <c r="D17" s="90"/>
      <c r="E17" s="90"/>
      <c r="F17" s="90"/>
      <c r="G17" s="14" t="e">
        <f t="shared" si="1"/>
        <v>#DIV/0!</v>
      </c>
      <c r="H17" s="93"/>
      <c r="I17" s="121" t="e">
        <f>IF(OR(H17="Kvoteomfattet alm. Proces",H17="Kvoteomfattet mineralogisk proces",H17="Færger",H17="Raffinaderi"),0,
VLOOKUP(C17,'Data ark'!$B$7:$E$26,3,FALSE)*G17)+
IF(OR(H17="Kvoteomfattet mineralogisk proces",H17="Ikke-kvoteomfattet mineralogisk proces"),G17*6.8,
IF(OR(H17="Raffinaderi",H17="Færger"),0,G17*11.9))</f>
        <v>#N/A</v>
      </c>
      <c r="J17" s="122"/>
      <c r="K17" s="121" t="e">
        <f>IF(OR(H17="Kvoteomfattet alm. Proces",H17="Kvoteomfattet mineralogisk proces",H17="Færger",H17="Raffinaderi"),0,
VLOOKUP(C17,'Data ark'!$B$7:$E$26,4,FALSE)*G17)+
IF(H17="Kvoteomfattet alm. Proces",IF(VLOOKUP(C17,'Data ark'!$B$7:$F$26,5,FALSE)="M",Indtastning!G17*4.5,Indtastning!G17*1.2),0)</f>
        <v>#N/A</v>
      </c>
      <c r="L17" s="122"/>
      <c r="M17" s="22">
        <f t="shared" si="0"/>
        <v>0</v>
      </c>
      <c r="N17" s="63"/>
      <c r="O17" s="63"/>
      <c r="P17" s="54"/>
      <c r="Q17" s="54"/>
      <c r="R17" s="54"/>
      <c r="S17" s="54"/>
      <c r="T17" s="54"/>
      <c r="U17" s="52"/>
      <c r="V17" s="55"/>
    </row>
    <row r="18" spans="1:22" ht="15" customHeight="1">
      <c r="A18" s="55"/>
      <c r="B18" s="54"/>
      <c r="C18" s="87"/>
      <c r="D18" s="90"/>
      <c r="E18" s="90"/>
      <c r="F18" s="90"/>
      <c r="G18" s="14" t="e">
        <f t="shared" si="1"/>
        <v>#DIV/0!</v>
      </c>
      <c r="H18" s="93"/>
      <c r="I18" s="121" t="e">
        <f>IF(OR(H18="Kvoteomfattet alm. Proces",H18="Kvoteomfattet mineralogisk proces",H18="Færger",H18="Raffinaderi"),0,
VLOOKUP(C18,'Data ark'!$B$7:$E$26,3,FALSE)*G18)+
IF(OR(H18="Kvoteomfattet mineralogisk proces",H18="Ikke-kvoteomfattet mineralogisk proces"),G18*6.8,
IF(OR(H18="Raffinaderi",H18="Færger"),0,G18*11.9))</f>
        <v>#N/A</v>
      </c>
      <c r="J18" s="122"/>
      <c r="K18" s="121" t="e">
        <f>IF(OR(H18="Kvoteomfattet alm. Proces",H18="Kvoteomfattet mineralogisk proces",H18="Færger",H18="Raffinaderi"),0,
VLOOKUP(C18,'Data ark'!$B$7:$E$26,4,FALSE)*G18)+
IF(H18="Kvoteomfattet alm. Proces",IF(VLOOKUP(C18,'Data ark'!$B$7:$F$26,5,FALSE)="M",Indtastning!G18*4.5,Indtastning!G18*1.2),0)</f>
        <v>#N/A</v>
      </c>
      <c r="L18" s="122"/>
      <c r="M18" s="22">
        <f t="shared" si="0"/>
        <v>0</v>
      </c>
      <c r="N18" s="63"/>
      <c r="O18" s="63"/>
      <c r="P18" s="10" t="s">
        <v>59</v>
      </c>
      <c r="Q18" s="54"/>
      <c r="R18" s="54"/>
      <c r="S18" s="54"/>
      <c r="T18" s="54"/>
      <c r="U18" s="52"/>
      <c r="V18" s="55"/>
    </row>
    <row r="19" spans="1:22" ht="15" customHeight="1">
      <c r="A19" s="55"/>
      <c r="B19" s="54"/>
      <c r="C19" s="87"/>
      <c r="D19" s="90"/>
      <c r="E19" s="90"/>
      <c r="F19" s="90"/>
      <c r="G19" s="14" t="e">
        <f t="shared" si="1"/>
        <v>#DIV/0!</v>
      </c>
      <c r="H19" s="93"/>
      <c r="I19" s="121" t="e">
        <f>IF(OR(H19="Kvoteomfattet alm. Proces",H19="Kvoteomfattet mineralogisk proces",H19="Færger",H19="Raffinaderi"),0,
VLOOKUP(C19,'Data ark'!$B$7:$E$26,3,FALSE)*G19)+
IF(OR(H19="Kvoteomfattet mineralogisk proces",H19="Ikke-kvoteomfattet mineralogisk proces"),G19*6.8,
IF(OR(H19="Raffinaderi",H19="Færger"),0,G19*11.9))</f>
        <v>#N/A</v>
      </c>
      <c r="J19" s="122"/>
      <c r="K19" s="121" t="e">
        <f>IF(OR(H19="Kvoteomfattet alm. Proces",H19="Kvoteomfattet mineralogisk proces",H19="Færger",H19="Raffinaderi"),0,
VLOOKUP(C19,'Data ark'!$B$7:$E$26,4,FALSE)*G19)+
IF(H19="Kvoteomfattet alm. Proces",IF(VLOOKUP(C19,'Data ark'!$B$7:$F$26,5,FALSE)="M",Indtastning!G19*4.5,Indtastning!G19*1.2),0)</f>
        <v>#N/A</v>
      </c>
      <c r="L19" s="122"/>
      <c r="M19" s="22">
        <f t="shared" si="0"/>
        <v>0</v>
      </c>
      <c r="N19" s="63"/>
      <c r="O19" s="63"/>
      <c r="P19" s="11" t="s">
        <v>49</v>
      </c>
      <c r="Q19" s="54"/>
      <c r="R19" s="54"/>
      <c r="S19" s="54"/>
      <c r="T19" s="54"/>
      <c r="U19" s="52"/>
      <c r="V19" s="55"/>
    </row>
    <row r="20" spans="1:22" ht="15" customHeight="1">
      <c r="A20" s="55"/>
      <c r="B20" s="54"/>
      <c r="C20" s="87"/>
      <c r="D20" s="90"/>
      <c r="E20" s="90"/>
      <c r="F20" s="90"/>
      <c r="G20" s="14" t="e">
        <f t="shared" si="1"/>
        <v>#DIV/0!</v>
      </c>
      <c r="H20" s="93"/>
      <c r="I20" s="121" t="e">
        <f>IF(OR(H20="Kvoteomfattet alm. Proces",H20="Kvoteomfattet mineralogisk proces",H20="Færger",H20="Raffinaderi"),0,
VLOOKUP(C20,'Data ark'!$B$7:$E$26,3,FALSE)*G20)+
IF(OR(H20="Kvoteomfattet mineralogisk proces",H20="Ikke-kvoteomfattet mineralogisk proces"),G20*6.8,
IF(OR(H20="Raffinaderi",H20="Færger"),0,G20*11.9))</f>
        <v>#N/A</v>
      </c>
      <c r="J20" s="122"/>
      <c r="K20" s="121" t="e">
        <f>IF(OR(H20="Kvoteomfattet alm. Proces",H20="Kvoteomfattet mineralogisk proces",H20="Færger",H20="Raffinaderi"),0,
VLOOKUP(C20,'Data ark'!$B$7:$E$26,4,FALSE)*G20)+
IF(H20="Kvoteomfattet alm. Proces",IF(VLOOKUP(C20,'Data ark'!$B$7:$F$26,5,FALSE)="M",Indtastning!G20*4.5,Indtastning!G20*1.2),0)</f>
        <v>#N/A</v>
      </c>
      <c r="L20" s="122"/>
      <c r="M20" s="22">
        <f t="shared" si="0"/>
        <v>0</v>
      </c>
      <c r="N20" s="63"/>
      <c r="O20" s="63"/>
      <c r="P20" s="54"/>
      <c r="Q20" s="54"/>
      <c r="R20" s="54"/>
      <c r="S20" s="54"/>
      <c r="T20" s="54"/>
      <c r="U20" s="52"/>
      <c r="V20" s="55"/>
    </row>
    <row r="21" spans="1:22" ht="15" customHeight="1">
      <c r="A21" s="55"/>
      <c r="B21" s="54"/>
      <c r="C21" s="87"/>
      <c r="D21" s="90"/>
      <c r="E21" s="90"/>
      <c r="F21" s="90"/>
      <c r="G21" s="14" t="e">
        <f t="shared" si="1"/>
        <v>#DIV/0!</v>
      </c>
      <c r="H21" s="93"/>
      <c r="I21" s="121" t="e">
        <f>IF(OR(H21="Kvoteomfattet alm. Proces",H21="Kvoteomfattet mineralogisk proces",H21="Færger",H21="Raffinaderi"),0,
VLOOKUP(C21,'Data ark'!$B$7:$E$26,3,FALSE)*G21)+
IF(OR(H21="Kvoteomfattet mineralogisk proces",H21="Ikke-kvoteomfattet mineralogisk proces"),G21*6.8,
IF(OR(H21="Raffinaderi",H21="Færger"),0,G21*11.9))</f>
        <v>#N/A</v>
      </c>
      <c r="J21" s="122"/>
      <c r="K21" s="121" t="e">
        <f>IF(OR(H21="Kvoteomfattet alm. Proces",H21="Kvoteomfattet mineralogisk proces",H21="Færger",H21="Raffinaderi"),0,
VLOOKUP(C21,'Data ark'!$B$7:$E$26,4,FALSE)*G21)+
IF(H21="Kvoteomfattet alm. Proces",IF(VLOOKUP(C21,'Data ark'!$B$7:$F$26,5,FALSE)="M",Indtastning!G21*4.5,Indtastning!G21*1.2),0)</f>
        <v>#N/A</v>
      </c>
      <c r="L21" s="122"/>
      <c r="M21" s="22">
        <f t="shared" si="0"/>
        <v>0</v>
      </c>
      <c r="N21" s="63"/>
      <c r="O21" s="63"/>
      <c r="P21" s="54"/>
      <c r="Q21" s="54"/>
      <c r="R21" s="54"/>
      <c r="S21" s="54"/>
      <c r="T21" s="54"/>
      <c r="U21" s="52"/>
      <c r="V21" s="55"/>
    </row>
    <row r="22" spans="1:22" ht="15" customHeight="1">
      <c r="A22" s="55"/>
      <c r="B22" s="54"/>
      <c r="C22" s="87"/>
      <c r="D22" s="90"/>
      <c r="E22" s="90"/>
      <c r="F22" s="90"/>
      <c r="G22" s="14" t="e">
        <f t="shared" si="1"/>
        <v>#DIV/0!</v>
      </c>
      <c r="H22" s="93"/>
      <c r="I22" s="121" t="e">
        <f>IF(OR(H22="Kvoteomfattet alm. Proces",H22="Kvoteomfattet mineralogisk proces",H22="Færger",H22="Raffinaderi"),0,
VLOOKUP(C22,'Data ark'!$B$7:$E$26,3,FALSE)*G22)+
IF(OR(H22="Kvoteomfattet mineralogisk proces",H22="Ikke-kvoteomfattet mineralogisk proces"),G22*6.8,
IF(OR(H22="Raffinaderi",H22="Færger"),0,G22*11.9))</f>
        <v>#N/A</v>
      </c>
      <c r="J22" s="122"/>
      <c r="K22" s="121" t="e">
        <f>IF(OR(H22="Kvoteomfattet alm. Proces",H22="Kvoteomfattet mineralogisk proces",H22="Færger",H22="Raffinaderi"),0,
VLOOKUP(C22,'Data ark'!$B$7:$E$26,4,FALSE)*G22)+
IF(H22="Kvoteomfattet alm. Proces",IF(VLOOKUP(C22,'Data ark'!$B$7:$F$26,5,FALSE)="M",Indtastning!G22*4.5,Indtastning!G22*1.2),0)</f>
        <v>#N/A</v>
      </c>
      <c r="L22" s="122"/>
      <c r="M22" s="22">
        <f t="shared" si="0"/>
        <v>0</v>
      </c>
      <c r="N22" s="63"/>
      <c r="O22" s="63"/>
      <c r="P22" s="54"/>
      <c r="Q22" s="54"/>
      <c r="R22" s="54"/>
      <c r="S22" s="54"/>
      <c r="T22" s="54"/>
      <c r="U22" s="52"/>
      <c r="V22" s="55"/>
    </row>
    <row r="23" spans="1:22" ht="15" customHeight="1">
      <c r="A23" s="55"/>
      <c r="B23" s="54"/>
      <c r="C23" s="87"/>
      <c r="D23" s="90"/>
      <c r="E23" s="90"/>
      <c r="F23" s="90"/>
      <c r="G23" s="14" t="e">
        <f t="shared" si="1"/>
        <v>#DIV/0!</v>
      </c>
      <c r="H23" s="93"/>
      <c r="I23" s="121" t="e">
        <f>IF(OR(H23="Kvoteomfattet alm. Proces",H23="Kvoteomfattet mineralogisk proces",H23="Færger",H23="Raffinaderi"),0,
VLOOKUP(C23,'Data ark'!$B$7:$E$26,3,FALSE)*G23)+
IF(OR(H23="Kvoteomfattet mineralogisk proces",H23="Ikke-kvoteomfattet mineralogisk proces"),G23*6.8,
IF(OR(H23="Raffinaderi",H23="Færger"),0,G23*11.9))</f>
        <v>#N/A</v>
      </c>
      <c r="J23" s="122"/>
      <c r="K23" s="121" t="e">
        <f>IF(OR(H23="Kvoteomfattet alm. Proces",H23="Kvoteomfattet mineralogisk proces",H23="Færger",H23="Raffinaderi"),0,
VLOOKUP(C23,'Data ark'!$B$7:$E$26,4,FALSE)*G23)+
IF(H23="Kvoteomfattet alm. Proces",IF(VLOOKUP(C23,'Data ark'!$B$7:$F$26,5,FALSE)="M",Indtastning!G23*4.5,Indtastning!G23*1.2),0)</f>
        <v>#N/A</v>
      </c>
      <c r="L23" s="122"/>
      <c r="M23" s="22">
        <f t="shared" si="0"/>
        <v>0</v>
      </c>
      <c r="N23" s="63"/>
      <c r="O23" s="63"/>
      <c r="P23" s="54"/>
      <c r="Q23" s="54"/>
      <c r="R23" s="54"/>
      <c r="S23" s="54"/>
      <c r="T23" s="54"/>
      <c r="U23" s="52"/>
      <c r="V23" s="55"/>
    </row>
    <row r="24" spans="1:22" ht="15" customHeight="1">
      <c r="A24" s="55"/>
      <c r="B24" s="54"/>
      <c r="C24" s="87"/>
      <c r="D24" s="90"/>
      <c r="E24" s="90"/>
      <c r="F24" s="90"/>
      <c r="G24" s="14" t="e">
        <f t="shared" si="1"/>
        <v>#DIV/0!</v>
      </c>
      <c r="H24" s="93"/>
      <c r="I24" s="121" t="e">
        <f>IF(OR(H24="Kvoteomfattet alm. Proces",H24="Kvoteomfattet mineralogisk proces",H24="Færger",H24="Raffinaderi"),0,
VLOOKUP(C24,'Data ark'!$B$7:$E$26,3,FALSE)*G24)+
IF(OR(H24="Kvoteomfattet mineralogisk proces",H24="Ikke-kvoteomfattet mineralogisk proces"),G24*6.8,
IF(OR(H24="Raffinaderi",H24="Færger"),0,G24*11.9))</f>
        <v>#N/A</v>
      </c>
      <c r="J24" s="122"/>
      <c r="K24" s="121" t="e">
        <f>IF(OR(H24="Kvoteomfattet alm. Proces",H24="Kvoteomfattet mineralogisk proces",H24="Færger",H24="Raffinaderi"),0,
VLOOKUP(C24,'Data ark'!$B$7:$E$26,4,FALSE)*G24)+
IF(H24="Kvoteomfattet alm. Proces",IF(VLOOKUP(C24,'Data ark'!$B$7:$F$26,5,FALSE)="M",Indtastning!G24*4.5,Indtastning!G24*1.2),0)</f>
        <v>#N/A</v>
      </c>
      <c r="L24" s="122"/>
      <c r="M24" s="22">
        <f t="shared" si="0"/>
        <v>0</v>
      </c>
      <c r="N24" s="63"/>
      <c r="O24" s="63"/>
      <c r="P24" s="119" t="s">
        <v>64</v>
      </c>
      <c r="Q24" s="119"/>
      <c r="R24" s="54"/>
      <c r="S24" s="54"/>
      <c r="T24" s="54"/>
      <c r="U24" s="52"/>
      <c r="V24" s="55"/>
    </row>
    <row r="25" spans="1:22" ht="15" customHeight="1">
      <c r="A25" s="55"/>
      <c r="B25" s="54"/>
      <c r="C25" s="87"/>
      <c r="D25" s="90"/>
      <c r="E25" s="90"/>
      <c r="F25" s="90"/>
      <c r="G25" s="14" t="e">
        <f t="shared" si="1"/>
        <v>#DIV/0!</v>
      </c>
      <c r="H25" s="93"/>
      <c r="I25" s="121" t="e">
        <f>IF(OR(H25="Kvoteomfattet alm. Proces",H25="Kvoteomfattet mineralogisk proces",H25="Færger",H25="Raffinaderi"),0,
VLOOKUP(C25,'Data ark'!$B$7:$E$26,3,FALSE)*G25)+
IF(OR(H25="Kvoteomfattet mineralogisk proces",H25="Ikke-kvoteomfattet mineralogisk proces"),G25*6.8,
IF(OR(H25="Raffinaderi",H25="Færger"),0,G25*11.9))</f>
        <v>#N/A</v>
      </c>
      <c r="J25" s="122"/>
      <c r="K25" s="121" t="e">
        <f>IF(OR(H25="Kvoteomfattet alm. Proces",H25="Kvoteomfattet mineralogisk proces",H25="Færger",H25="Raffinaderi"),0,
VLOOKUP(C25,'Data ark'!$B$7:$E$26,4,FALSE)*G25)+
IF(H25="Kvoteomfattet alm. Proces",IF(VLOOKUP(C25,'Data ark'!$B$7:$F$26,5,FALSE)="M",Indtastning!G25*4.5,Indtastning!G25*1.2),0)</f>
        <v>#N/A</v>
      </c>
      <c r="L25" s="122"/>
      <c r="M25" s="22">
        <f t="shared" si="0"/>
        <v>0</v>
      </c>
      <c r="N25" s="63"/>
      <c r="O25" s="54"/>
      <c r="P25" s="120"/>
      <c r="Q25" s="120"/>
      <c r="R25" s="54"/>
      <c r="S25" s="54"/>
      <c r="T25" s="52"/>
      <c r="U25" s="52"/>
      <c r="V25" s="55"/>
    </row>
    <row r="26" spans="1:22" ht="15" customHeight="1">
      <c r="A26" s="55"/>
      <c r="B26" s="54"/>
      <c r="C26" s="87"/>
      <c r="D26" s="90"/>
      <c r="E26" s="90"/>
      <c r="F26" s="90"/>
      <c r="G26" s="14" t="e">
        <f t="shared" si="1"/>
        <v>#DIV/0!</v>
      </c>
      <c r="H26" s="93"/>
      <c r="I26" s="121" t="e">
        <f>IF(OR(H26="Kvoteomfattet alm. Proces",H26="Kvoteomfattet mineralogisk proces",H26="Færger",H26="Raffinaderi"),0,
VLOOKUP(C26,'Data ark'!$B$7:$E$26,3,FALSE)*G26)+
IF(OR(H26="Kvoteomfattet mineralogisk proces",H26="Ikke-kvoteomfattet mineralogisk proces"),G26*6.8,
IF(OR(H26="Raffinaderi",H26="Færger"),0,G26*11.9))</f>
        <v>#N/A</v>
      </c>
      <c r="J26" s="122"/>
      <c r="K26" s="121" t="e">
        <f>IF(OR(H26="Kvoteomfattet alm. Proces",H26="Kvoteomfattet mineralogisk proces",H26="Færger",H26="Raffinaderi"),0,
VLOOKUP(C26,'Data ark'!$B$7:$E$26,4,FALSE)*G26)+
IF(H26="Kvoteomfattet alm. Proces",IF(VLOOKUP(C26,'Data ark'!$B$7:$F$26,5,FALSE)="M",Indtastning!G26*4.5,Indtastning!G26*1.2),0)</f>
        <v>#N/A</v>
      </c>
      <c r="L26" s="122"/>
      <c r="M26" s="22">
        <f t="shared" si="0"/>
        <v>0</v>
      </c>
      <c r="N26" s="63"/>
      <c r="O26" s="54"/>
      <c r="P26" s="64" t="s">
        <v>43</v>
      </c>
      <c r="Q26" s="112">
        <f>M31+H41</f>
        <v>0</v>
      </c>
      <c r="R26" s="112"/>
      <c r="S26" s="112"/>
      <c r="T26" s="52"/>
      <c r="U26" s="52"/>
      <c r="V26" s="55"/>
    </row>
    <row r="27" spans="1:22" ht="15" customHeight="1">
      <c r="A27" s="55"/>
      <c r="B27" s="54"/>
      <c r="C27" s="87"/>
      <c r="D27" s="90"/>
      <c r="E27" s="90"/>
      <c r="F27" s="90"/>
      <c r="G27" s="14" t="e">
        <f>AVERAGE(D27:F27)</f>
        <v>#DIV/0!</v>
      </c>
      <c r="H27" s="93"/>
      <c r="I27" s="121" t="e">
        <f>IF(OR(H27="Kvoteomfattet alm. Proces",H27="Kvoteomfattet mineralogisk proces",H27="Færger",H27="Raffinaderi"),0,
VLOOKUP(C27,'Data ark'!$B$7:$E$26,3,FALSE)*G27)+
IF(OR(H27="Kvoteomfattet mineralogisk proces",H27="Ikke-kvoteomfattet mineralogisk proces"),G27*6.8,
IF(OR(H27="Raffinaderi",H27="Færger"),0,G27*11.9))</f>
        <v>#N/A</v>
      </c>
      <c r="J27" s="122"/>
      <c r="K27" s="121" t="e">
        <f>IF(OR(H27="Kvoteomfattet alm. Proces",H27="Kvoteomfattet mineralogisk proces",H27="Færger",H27="Raffinaderi"),0,
VLOOKUP(C27,'Data ark'!$B$7:$E$26,4,FALSE)*G27)+
IF(H27="Kvoteomfattet alm. Proces",IF(VLOOKUP(C27,'Data ark'!$B$7:$F$26,5,FALSE)="M",Indtastning!G27*4.5,Indtastning!G27*1.2),0)</f>
        <v>#N/A</v>
      </c>
      <c r="L27" s="122"/>
      <c r="M27" s="22">
        <f t="shared" si="0"/>
        <v>0</v>
      </c>
      <c r="N27" s="63"/>
      <c r="O27" s="54"/>
      <c r="P27" s="64" t="s">
        <v>40</v>
      </c>
      <c r="Q27" s="113">
        <f>SUM(H47)</f>
        <v>0</v>
      </c>
      <c r="R27" s="113"/>
      <c r="S27" s="113"/>
      <c r="T27" s="52"/>
      <c r="U27" s="52"/>
      <c r="V27" s="55"/>
    </row>
    <row r="28" spans="1:22" ht="15" customHeight="1" thickBot="1">
      <c r="A28" s="55"/>
      <c r="B28" s="54"/>
      <c r="C28" s="87"/>
      <c r="D28" s="90"/>
      <c r="E28" s="90"/>
      <c r="F28" s="90"/>
      <c r="G28" s="14" t="e">
        <f t="shared" si="1"/>
        <v>#DIV/0!</v>
      </c>
      <c r="H28" s="93"/>
      <c r="I28" s="121" t="e">
        <f>IF(OR(H28="Kvoteomfattet alm. Proces",H28="Kvoteomfattet mineralogisk proces",H28="Færger",H28="Raffinaderi"),0,
VLOOKUP(C28,'Data ark'!$B$7:$E$26,3,FALSE)*G28)+
IF(OR(H28="Kvoteomfattet mineralogisk proces",H28="Ikke-kvoteomfattet mineralogisk proces"),G28*6.8,
IF(OR(H28="Raffinaderi",H28="Færger"),0,G28*11.9))</f>
        <v>#N/A</v>
      </c>
      <c r="J28" s="122"/>
      <c r="K28" s="121" t="e">
        <f>IF(OR(H28="Kvoteomfattet alm. Proces",H28="Kvoteomfattet mineralogisk proces",H28="Færger",H28="Raffinaderi"),0,
VLOOKUP(C28,'Data ark'!$B$7:$E$26,4,FALSE)*G28)+
IF(H28="Kvoteomfattet alm. Proces",IF(VLOOKUP(C28,'Data ark'!$B$7:$F$26,5,FALSE)="M",Indtastning!G28*4.5,Indtastning!G28*1.2),0)</f>
        <v>#N/A</v>
      </c>
      <c r="L28" s="122"/>
      <c r="M28" s="22">
        <f t="shared" si="0"/>
        <v>0</v>
      </c>
      <c r="N28" s="63"/>
      <c r="O28" s="54"/>
      <c r="P28" s="65" t="s">
        <v>41</v>
      </c>
      <c r="Q28" s="114">
        <f>SUM(H48)</f>
        <v>0</v>
      </c>
      <c r="R28" s="114"/>
      <c r="S28" s="114"/>
      <c r="T28" s="52"/>
      <c r="U28" s="52"/>
      <c r="V28" s="55"/>
    </row>
    <row r="29" spans="1:22" ht="15" customHeight="1">
      <c r="A29" s="55"/>
      <c r="B29" s="54"/>
      <c r="C29" s="87"/>
      <c r="D29" s="90"/>
      <c r="E29" s="90"/>
      <c r="F29" s="90"/>
      <c r="G29" s="14" t="e">
        <f t="shared" si="1"/>
        <v>#DIV/0!</v>
      </c>
      <c r="H29" s="93"/>
      <c r="I29" s="121" t="e">
        <f>IF(OR(H29="Kvoteomfattet alm. Proces",H29="Kvoteomfattet mineralogisk proces",H29="Færger",H29="Raffinaderi"),0,
VLOOKUP(C29,'Data ark'!$B$7:$E$26,3,FALSE)*G29)+
IF(OR(H29="Kvoteomfattet mineralogisk proces",H29="Ikke-kvoteomfattet mineralogisk proces"),G29*6.8,
IF(OR(H29="Raffinaderi",H29="Færger"),0,G29*11.9))</f>
        <v>#N/A</v>
      </c>
      <c r="J29" s="122"/>
      <c r="K29" s="121" t="e">
        <f>IF(OR(H29="Kvoteomfattet alm. Proces",H29="Kvoteomfattet mineralogisk proces",H29="Færger",H29="Raffinaderi"),0,
VLOOKUP(C29,'Data ark'!$B$7:$E$26,4,FALSE)*G29)+
IF(H29="Kvoteomfattet alm. Proces",IF(VLOOKUP(C29,'Data ark'!$B$7:$F$26,5,FALSE)="M",Indtastning!G29*4.5,Indtastning!G29*1.2),0)</f>
        <v>#N/A</v>
      </c>
      <c r="L29" s="122"/>
      <c r="M29" s="22">
        <f t="shared" si="0"/>
        <v>0</v>
      </c>
      <c r="N29" s="63"/>
      <c r="O29" s="54"/>
      <c r="P29" s="9" t="s">
        <v>50</v>
      </c>
      <c r="Q29" s="115" t="e">
        <f>Q26/(Q27+Q28)</f>
        <v>#DIV/0!</v>
      </c>
      <c r="R29" s="115"/>
      <c r="S29" s="115"/>
      <c r="T29" s="52"/>
      <c r="U29" s="52"/>
      <c r="V29" s="55"/>
    </row>
    <row r="30" spans="1:22" ht="15.75" customHeight="1" thickBot="1">
      <c r="A30" s="55"/>
      <c r="B30" s="54"/>
      <c r="C30" s="91"/>
      <c r="D30" s="92"/>
      <c r="E30" s="92"/>
      <c r="F30" s="92"/>
      <c r="G30" s="17" t="e">
        <f t="shared" si="1"/>
        <v>#DIV/0!</v>
      </c>
      <c r="H30" s="94"/>
      <c r="I30" s="123" t="e">
        <f>IF(OR(H30="Kvoteomfattet alm. Proces",H30="Kvoteomfattet mineralogisk proces",H30="Færger",H30="Raffinaderi"),0,
VLOOKUP(C30,'Data ark'!$B$7:$E$26,3,FALSE)*G30)+
IF(OR(H30="Kvoteomfattet mineralogisk proces",H30="Ikke-kvoteomfattet mineralogisk proces"),G30*6.8,
IF(OR(H30="Raffinaderi",H30="Færger"),0,G30*11.9))</f>
        <v>#N/A</v>
      </c>
      <c r="J30" s="124"/>
      <c r="K30" s="123" t="e">
        <f>IF(OR(H30="Kvoteomfattet alm. Proces",H30="Kvoteomfattet mineralogisk proces",H30="Færger",H30="Raffinaderi"),0,
VLOOKUP(C30,'Data ark'!$B$7:$E$26,4,FALSE)*G30)+
IF(H30="Kvoteomfattet alm. Proces",IF(VLOOKUP(C30,'Data ark'!$B$7:$F$26,5,FALSE)="M",Indtastning!G30*4.5,Indtastning!G30*1.2),0)</f>
        <v>#N/A</v>
      </c>
      <c r="L30" s="124"/>
      <c r="M30" s="23">
        <f t="shared" si="0"/>
        <v>0</v>
      </c>
      <c r="N30" s="63"/>
      <c r="O30" s="54"/>
      <c r="P30" s="54"/>
      <c r="Q30" s="54"/>
      <c r="R30" s="54"/>
      <c r="S30" s="54"/>
      <c r="T30" s="52"/>
      <c r="U30" s="52"/>
      <c r="V30" s="55"/>
    </row>
    <row r="31" spans="1:22">
      <c r="A31" s="55"/>
      <c r="B31" s="54"/>
      <c r="C31" s="58" t="s">
        <v>42</v>
      </c>
      <c r="D31" s="21">
        <f>SUM(D10:D30)</f>
        <v>0</v>
      </c>
      <c r="E31" s="21">
        <f>SUM(E10:E30)</f>
        <v>0</v>
      </c>
      <c r="F31" s="21">
        <f>SUM(F10:F30)</f>
        <v>0</v>
      </c>
      <c r="G31" s="21">
        <f>AVERAGE(D31:F31)</f>
        <v>0</v>
      </c>
      <c r="H31" s="58"/>
      <c r="I31" s="125"/>
      <c r="J31" s="126"/>
      <c r="K31" s="125"/>
      <c r="L31" s="126"/>
      <c r="M31" s="19">
        <f>SUM(M10:M30)</f>
        <v>0</v>
      </c>
      <c r="N31" s="60"/>
      <c r="O31" s="54"/>
      <c r="P31" s="54"/>
      <c r="Q31" s="54"/>
      <c r="R31" s="54"/>
      <c r="S31" s="54"/>
      <c r="T31" s="52"/>
      <c r="U31" s="52"/>
      <c r="V31" s="55"/>
    </row>
    <row r="32" spans="1:22" ht="32.25" customHeight="1">
      <c r="A32" s="55"/>
      <c r="B32" s="5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0"/>
      <c r="O32" s="60"/>
      <c r="P32" s="54"/>
      <c r="Q32" s="54"/>
      <c r="R32" s="54"/>
      <c r="S32" s="54"/>
      <c r="T32" s="54"/>
      <c r="U32" s="52"/>
      <c r="V32" s="55"/>
    </row>
    <row r="33" spans="1:22" ht="32.2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28.2" thickBot="1">
      <c r="A34" s="55"/>
      <c r="B34" s="52"/>
      <c r="C34" s="53" t="s">
        <v>62</v>
      </c>
      <c r="D34" s="54"/>
      <c r="E34" s="54"/>
      <c r="F34" s="54"/>
      <c r="G34" s="54"/>
      <c r="H34" s="54"/>
      <c r="I34" s="54"/>
      <c r="J34" s="55"/>
      <c r="K34" s="71"/>
      <c r="L34" s="53" t="s">
        <v>60</v>
      </c>
      <c r="M34" s="54"/>
      <c r="N34" s="54"/>
      <c r="O34" s="54"/>
      <c r="P34" s="54"/>
      <c r="Q34" s="54"/>
      <c r="R34" s="54"/>
      <c r="S34" s="55"/>
      <c r="T34" s="55"/>
      <c r="U34" s="55"/>
      <c r="V34" s="55"/>
    </row>
    <row r="35" spans="1:22" ht="16.2">
      <c r="A35" s="55"/>
      <c r="B35" s="52"/>
      <c r="C35" s="132" t="s">
        <v>1</v>
      </c>
      <c r="D35" s="132" t="s">
        <v>56</v>
      </c>
      <c r="E35" s="132"/>
      <c r="F35" s="132"/>
      <c r="G35" s="132" t="s">
        <v>2</v>
      </c>
      <c r="H35" s="132" t="s">
        <v>55</v>
      </c>
      <c r="I35" s="62"/>
      <c r="J35" s="55"/>
      <c r="K35" s="54"/>
      <c r="L35" s="72" t="s">
        <v>0</v>
      </c>
      <c r="M35" s="73" t="s">
        <v>46</v>
      </c>
      <c r="N35" s="125" t="s">
        <v>47</v>
      </c>
      <c r="O35" s="127"/>
      <c r="P35" s="126"/>
      <c r="Q35" s="80" t="s">
        <v>48</v>
      </c>
      <c r="R35" s="54"/>
      <c r="S35" s="55"/>
      <c r="T35" s="55"/>
      <c r="U35" s="55"/>
      <c r="V35" s="55"/>
    </row>
    <row r="36" spans="1:22">
      <c r="A36" s="55"/>
      <c r="B36" s="52"/>
      <c r="C36" s="132"/>
      <c r="D36" s="61">
        <v>2021</v>
      </c>
      <c r="E36" s="61">
        <v>2022</v>
      </c>
      <c r="F36" s="61">
        <v>2023</v>
      </c>
      <c r="G36" s="132"/>
      <c r="H36" s="132"/>
      <c r="I36" s="62"/>
      <c r="J36" s="55"/>
      <c r="K36" s="54"/>
      <c r="L36" s="74" t="s">
        <v>7</v>
      </c>
      <c r="M36" s="75">
        <v>7.4099999999999999E-2</v>
      </c>
      <c r="N36" s="116"/>
      <c r="O36" s="117"/>
      <c r="P36" s="118"/>
      <c r="Q36" s="12">
        <f>M36*N36</f>
        <v>0</v>
      </c>
      <c r="R36" s="54"/>
      <c r="S36" s="55"/>
      <c r="T36" s="55"/>
      <c r="U36" s="55"/>
      <c r="V36" s="55"/>
    </row>
    <row r="37" spans="1:22" ht="27.6">
      <c r="A37" s="55"/>
      <c r="B37" s="52"/>
      <c r="C37" s="88"/>
      <c r="D37" s="95"/>
      <c r="E37" s="95"/>
      <c r="F37" s="95"/>
      <c r="G37" s="14" t="e">
        <f>AVERAGE(D37:F37)</f>
        <v>#DIV/0!</v>
      </c>
      <c r="H37" s="15">
        <f>IF(OR(C37="Kvoteomfattet alm. Proces",C37="Færger",C37="Raffinaderi"),G37*426,IF(C37="Kvoteomfattet mineralogisk proces",G37*142,0))</f>
        <v>0</v>
      </c>
      <c r="I37" s="83"/>
      <c r="J37" s="55"/>
      <c r="K37" s="54"/>
      <c r="L37" s="74" t="s">
        <v>8</v>
      </c>
      <c r="M37" s="75">
        <v>6.9000000000000006E-2</v>
      </c>
      <c r="N37" s="116"/>
      <c r="O37" s="117"/>
      <c r="P37" s="118"/>
      <c r="Q37" s="12">
        <f t="shared" ref="Q37:Q56" si="2">M37*N37</f>
        <v>0</v>
      </c>
      <c r="R37" s="54"/>
      <c r="S37" s="55"/>
      <c r="T37" s="55"/>
      <c r="U37" s="55"/>
      <c r="V37" s="55"/>
    </row>
    <row r="38" spans="1:22" ht="27.6">
      <c r="A38" s="55"/>
      <c r="B38" s="52"/>
      <c r="C38" s="88"/>
      <c r="D38" s="93"/>
      <c r="E38" s="93"/>
      <c r="F38" s="93"/>
      <c r="G38" s="14" t="e">
        <f>AVERAGE(D38:F38)</f>
        <v>#DIV/0!</v>
      </c>
      <c r="H38" s="16">
        <f>IF(OR(C38="Kvoteomfattet alm. Proces",C38="Færger",C38="Raffinaderi"),G38*426,IF(C38="Kvoteomfattet mineralogisk proces",G38*142,0))</f>
        <v>0</v>
      </c>
      <c r="I38" s="84"/>
      <c r="J38" s="55"/>
      <c r="K38" s="54"/>
      <c r="L38" s="74" t="s">
        <v>37</v>
      </c>
      <c r="M38" s="75">
        <v>6.8500000000000005E-2</v>
      </c>
      <c r="N38" s="116"/>
      <c r="O38" s="117"/>
      <c r="P38" s="118"/>
      <c r="Q38" s="12">
        <f t="shared" si="2"/>
        <v>0</v>
      </c>
      <c r="R38" s="54"/>
      <c r="S38" s="55"/>
      <c r="T38" s="55"/>
      <c r="U38" s="55"/>
      <c r="V38" s="55"/>
    </row>
    <row r="39" spans="1:22">
      <c r="A39" s="55"/>
      <c r="B39" s="52"/>
      <c r="C39" s="88"/>
      <c r="D39" s="93"/>
      <c r="E39" s="93"/>
      <c r="F39" s="93"/>
      <c r="G39" s="14" t="e">
        <f>AVERAGE(D39:F39)</f>
        <v>#DIV/0!</v>
      </c>
      <c r="H39" s="16">
        <f>IF(OR(C39="Kvoteomfattet alm. Proces",C39="Færger",C39="Raffinaderi"),G39*426,IF(C39="Kvoteomfattet mineralogisk proces",G39*142,0))</f>
        <v>0</v>
      </c>
      <c r="I39" s="84"/>
      <c r="J39" s="55"/>
      <c r="K39" s="54"/>
      <c r="L39" s="74" t="s">
        <v>9</v>
      </c>
      <c r="M39" s="75">
        <v>7.8950000000000006E-2</v>
      </c>
      <c r="N39" s="116"/>
      <c r="O39" s="117"/>
      <c r="P39" s="118"/>
      <c r="Q39" s="12">
        <f t="shared" si="2"/>
        <v>0</v>
      </c>
      <c r="R39" s="54"/>
      <c r="S39" s="55"/>
      <c r="T39" s="55"/>
      <c r="U39" s="55"/>
      <c r="V39" s="55"/>
    </row>
    <row r="40" spans="1:22" ht="14.4" thickBot="1">
      <c r="A40" s="55"/>
      <c r="B40" s="52"/>
      <c r="C40" s="88"/>
      <c r="D40" s="94"/>
      <c r="E40" s="94"/>
      <c r="F40" s="94"/>
      <c r="G40" s="17" t="e">
        <f>AVERAGE(D40:F40)</f>
        <v>#DIV/0!</v>
      </c>
      <c r="H40" s="18">
        <f>IF(OR(C40="Kvoteomfattet alm. Proces",C40="Færger",C40="Raffinaderi"),G40*426,IF(C40="Kvoteomfattet mineralogisk proces",G40*142,0))</f>
        <v>0</v>
      </c>
      <c r="I40" s="84"/>
      <c r="J40" s="55"/>
      <c r="K40" s="54"/>
      <c r="L40" s="74" t="s">
        <v>10</v>
      </c>
      <c r="M40" s="75">
        <v>8.0699999999999994E-2</v>
      </c>
      <c r="N40" s="116"/>
      <c r="O40" s="117"/>
      <c r="P40" s="118"/>
      <c r="Q40" s="12">
        <f t="shared" si="2"/>
        <v>0</v>
      </c>
      <c r="R40" s="54"/>
      <c r="S40" s="55"/>
      <c r="T40" s="55"/>
      <c r="U40" s="55"/>
      <c r="V40" s="55"/>
    </row>
    <row r="41" spans="1:22">
      <c r="A41" s="55"/>
      <c r="B41" s="52"/>
      <c r="C41" s="58" t="s">
        <v>42</v>
      </c>
      <c r="D41" s="99">
        <f>SUM(D37:D40)</f>
        <v>0</v>
      </c>
      <c r="E41" s="99">
        <f>SUM(E37:E40)</f>
        <v>0</v>
      </c>
      <c r="F41" s="99">
        <f>SUM(F37:F40)</f>
        <v>0</v>
      </c>
      <c r="G41" s="100">
        <f>AVERAGE(D41:F41)</f>
        <v>0</v>
      </c>
      <c r="H41" s="19">
        <f>SUM(H37:H40)</f>
        <v>0</v>
      </c>
      <c r="I41" s="60"/>
      <c r="J41" s="55"/>
      <c r="K41" s="54"/>
      <c r="L41" s="74" t="s">
        <v>11</v>
      </c>
      <c r="M41" s="75">
        <v>7.1900000000000006E-2</v>
      </c>
      <c r="N41" s="116"/>
      <c r="O41" s="117"/>
      <c r="P41" s="118"/>
      <c r="Q41" s="12">
        <f t="shared" si="2"/>
        <v>0</v>
      </c>
      <c r="R41" s="54"/>
      <c r="S41" s="55"/>
      <c r="T41" s="55"/>
      <c r="U41" s="55"/>
      <c r="V41" s="55"/>
    </row>
    <row r="42" spans="1:22">
      <c r="A42" s="55"/>
      <c r="B42" s="52"/>
      <c r="C42" s="59"/>
      <c r="D42" s="81"/>
      <c r="E42" s="81"/>
      <c r="F42" s="81"/>
      <c r="G42" s="82"/>
      <c r="H42" s="60"/>
      <c r="I42" s="60"/>
      <c r="J42" s="55"/>
      <c r="K42" s="54"/>
      <c r="L42" s="108" t="s">
        <v>12</v>
      </c>
      <c r="M42" s="110">
        <v>9.7500000000000003E-2</v>
      </c>
      <c r="N42" s="96"/>
      <c r="O42" s="97"/>
      <c r="P42" s="98"/>
      <c r="Q42" s="12">
        <f t="shared" si="2"/>
        <v>0</v>
      </c>
      <c r="R42" s="54"/>
      <c r="S42" s="55"/>
      <c r="T42" s="55"/>
      <c r="U42" s="55"/>
      <c r="V42" s="55"/>
    </row>
    <row r="43" spans="1:22" ht="27.75" customHeight="1">
      <c r="A43" s="55"/>
      <c r="B43" s="52"/>
      <c r="C43" s="54"/>
      <c r="D43" s="54"/>
      <c r="E43" s="54"/>
      <c r="F43" s="54"/>
      <c r="G43" s="54"/>
      <c r="H43" s="54"/>
      <c r="I43" s="54"/>
      <c r="J43" s="55"/>
      <c r="K43" s="54"/>
      <c r="L43" s="109"/>
      <c r="M43" s="111"/>
      <c r="N43" s="116"/>
      <c r="O43" s="117"/>
      <c r="P43" s="118"/>
      <c r="Q43" s="12">
        <f t="shared" si="2"/>
        <v>0</v>
      </c>
      <c r="R43" s="54"/>
      <c r="S43" s="55"/>
      <c r="T43" s="55"/>
      <c r="U43" s="55"/>
      <c r="V43" s="55"/>
    </row>
    <row r="44" spans="1:2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4"/>
      <c r="L44" s="74" t="s">
        <v>15</v>
      </c>
      <c r="M44" s="75">
        <v>9.4E-2</v>
      </c>
      <c r="N44" s="116"/>
      <c r="O44" s="117"/>
      <c r="P44" s="118"/>
      <c r="Q44" s="12">
        <f t="shared" si="2"/>
        <v>0</v>
      </c>
      <c r="R44" s="54"/>
      <c r="S44" s="55"/>
      <c r="T44" s="55"/>
      <c r="U44" s="55"/>
      <c r="V44" s="55"/>
    </row>
    <row r="45" spans="1:22" ht="32.25" customHeight="1">
      <c r="A45" s="55"/>
      <c r="B45" s="52"/>
      <c r="C45" s="53" t="s">
        <v>63</v>
      </c>
      <c r="D45" s="54"/>
      <c r="E45" s="54"/>
      <c r="F45" s="54"/>
      <c r="G45" s="54"/>
      <c r="H45" s="54"/>
      <c r="I45" s="54"/>
      <c r="J45" s="55"/>
      <c r="K45" s="54"/>
      <c r="L45" s="74" t="s">
        <v>16</v>
      </c>
      <c r="M45" s="75">
        <v>9.7500000000000003E-2</v>
      </c>
      <c r="N45" s="116"/>
      <c r="O45" s="117"/>
      <c r="P45" s="118"/>
      <c r="Q45" s="12">
        <f t="shared" si="2"/>
        <v>0</v>
      </c>
      <c r="R45" s="54"/>
      <c r="S45" s="55"/>
      <c r="T45" s="55"/>
      <c r="U45" s="55"/>
      <c r="V45" s="55"/>
    </row>
    <row r="46" spans="1:22">
      <c r="A46" s="55"/>
      <c r="B46" s="52"/>
      <c r="C46" s="66" t="s">
        <v>44</v>
      </c>
      <c r="D46" s="67">
        <v>2021</v>
      </c>
      <c r="E46" s="67">
        <v>2022</v>
      </c>
      <c r="F46" s="67">
        <v>2023</v>
      </c>
      <c r="G46" s="67"/>
      <c r="H46" s="67">
        <v>2025</v>
      </c>
      <c r="I46" s="69"/>
      <c r="J46" s="55"/>
      <c r="K46" s="54"/>
      <c r="L46" s="74" t="s">
        <v>17</v>
      </c>
      <c r="M46" s="75">
        <v>6.4799999999999996E-2</v>
      </c>
      <c r="N46" s="116"/>
      <c r="O46" s="117"/>
      <c r="P46" s="118"/>
      <c r="Q46" s="12">
        <f t="shared" si="2"/>
        <v>0</v>
      </c>
      <c r="R46" s="54"/>
      <c r="S46" s="55"/>
      <c r="T46" s="55"/>
      <c r="U46" s="55"/>
      <c r="V46" s="55"/>
    </row>
    <row r="47" spans="1:22">
      <c r="A47" s="55"/>
      <c r="B47" s="52"/>
      <c r="C47" s="66" t="s">
        <v>40</v>
      </c>
      <c r="D47" s="101"/>
      <c r="E47" s="101"/>
      <c r="F47" s="101"/>
      <c r="G47" s="68"/>
      <c r="H47" s="20">
        <f>SUM(D47*1.15+E47*1.12+F47*1.02)/3</f>
        <v>0</v>
      </c>
      <c r="I47" s="70"/>
      <c r="J47" s="55"/>
      <c r="K47" s="54"/>
      <c r="L47" s="74" t="s">
        <v>18</v>
      </c>
      <c r="M47" s="75">
        <v>6.4799999999999996E-2</v>
      </c>
      <c r="N47" s="116"/>
      <c r="O47" s="117"/>
      <c r="P47" s="118"/>
      <c r="Q47" s="12">
        <f t="shared" si="2"/>
        <v>0</v>
      </c>
      <c r="R47" s="54"/>
      <c r="S47" s="55"/>
      <c r="T47" s="55"/>
      <c r="U47" s="55"/>
      <c r="V47" s="55"/>
    </row>
    <row r="48" spans="1:22">
      <c r="A48" s="55"/>
      <c r="B48" s="52"/>
      <c r="C48" s="66" t="s">
        <v>41</v>
      </c>
      <c r="D48" s="101"/>
      <c r="E48" s="101"/>
      <c r="F48" s="101"/>
      <c r="G48" s="68"/>
      <c r="H48" s="20">
        <f>SUM(D48*1.15+E48*1.12+F48*1.02)/3</f>
        <v>0</v>
      </c>
      <c r="I48" s="70"/>
      <c r="J48" s="55"/>
      <c r="K48" s="54"/>
      <c r="L48" s="74" t="s">
        <v>19</v>
      </c>
      <c r="M48" s="75">
        <v>5.7599999999999998E-2</v>
      </c>
      <c r="N48" s="116"/>
      <c r="O48" s="117"/>
      <c r="P48" s="118"/>
      <c r="Q48" s="12">
        <f t="shared" si="2"/>
        <v>0</v>
      </c>
      <c r="R48" s="54"/>
      <c r="S48" s="55"/>
      <c r="T48" s="55"/>
      <c r="U48" s="55"/>
      <c r="V48" s="55"/>
    </row>
    <row r="49" spans="1:22" ht="43.8">
      <c r="A49" s="55"/>
      <c r="B49" s="52"/>
      <c r="C49" s="54"/>
      <c r="D49" s="54"/>
      <c r="E49" s="54"/>
      <c r="F49" s="54"/>
      <c r="G49" s="54"/>
      <c r="H49" s="54"/>
      <c r="I49" s="54"/>
      <c r="J49" s="55"/>
      <c r="K49" s="54"/>
      <c r="L49" s="74" t="s">
        <v>51</v>
      </c>
      <c r="M49" s="75">
        <v>5.6099999999999997E-2</v>
      </c>
      <c r="N49" s="116"/>
      <c r="O49" s="117"/>
      <c r="P49" s="118"/>
      <c r="Q49" s="12">
        <f t="shared" si="2"/>
        <v>0</v>
      </c>
      <c r="R49" s="54"/>
      <c r="S49" s="55"/>
      <c r="T49" s="55"/>
      <c r="U49" s="55"/>
      <c r="V49" s="55"/>
    </row>
    <row r="50" spans="1:22" ht="112.8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4"/>
      <c r="L50" s="74" t="s">
        <v>52</v>
      </c>
      <c r="M50" s="75">
        <v>5.6099999999999997E-2</v>
      </c>
      <c r="N50" s="116"/>
      <c r="O50" s="117"/>
      <c r="P50" s="118"/>
      <c r="Q50" s="12">
        <f t="shared" si="2"/>
        <v>0</v>
      </c>
      <c r="R50" s="54"/>
      <c r="S50" s="55"/>
      <c r="T50" s="55"/>
      <c r="U50" s="55"/>
      <c r="V50" s="55"/>
    </row>
    <row r="51" spans="1:2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4"/>
      <c r="L51" s="74" t="s">
        <v>22</v>
      </c>
      <c r="M51" s="75">
        <v>7.2999999999999995E-2</v>
      </c>
      <c r="N51" s="116"/>
      <c r="O51" s="117"/>
      <c r="P51" s="118"/>
      <c r="Q51" s="12">
        <f t="shared" si="2"/>
        <v>0</v>
      </c>
      <c r="R51" s="54"/>
      <c r="S51" s="55"/>
      <c r="T51" s="55"/>
      <c r="U51" s="55"/>
      <c r="V51" s="55"/>
    </row>
    <row r="52" spans="1:22" ht="27.6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4"/>
      <c r="L52" s="74" t="s">
        <v>23</v>
      </c>
      <c r="M52" s="75">
        <v>6.9400000000000003E-2</v>
      </c>
      <c r="N52" s="116"/>
      <c r="O52" s="117"/>
      <c r="P52" s="118"/>
      <c r="Q52" s="12">
        <f t="shared" si="2"/>
        <v>0</v>
      </c>
      <c r="R52" s="54"/>
      <c r="S52" s="55"/>
      <c r="T52" s="55"/>
      <c r="U52" s="55"/>
      <c r="V52" s="55"/>
    </row>
    <row r="53" spans="1:22" ht="27.6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4"/>
      <c r="L53" s="74" t="s">
        <v>24</v>
      </c>
      <c r="M53" s="75">
        <v>6.5799999999999997E-2</v>
      </c>
      <c r="N53" s="116"/>
      <c r="O53" s="117"/>
      <c r="P53" s="118"/>
      <c r="Q53" s="12">
        <f t="shared" si="2"/>
        <v>0</v>
      </c>
      <c r="R53" s="54"/>
      <c r="S53" s="55"/>
      <c r="T53" s="55"/>
      <c r="U53" s="55"/>
      <c r="V53" s="55"/>
    </row>
    <row r="54" spans="1:22" ht="43.8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4"/>
      <c r="L54" s="74" t="s">
        <v>53</v>
      </c>
      <c r="M54" s="75"/>
      <c r="N54" s="116"/>
      <c r="O54" s="117"/>
      <c r="P54" s="118"/>
      <c r="Q54" s="12">
        <f t="shared" si="2"/>
        <v>0</v>
      </c>
      <c r="R54" s="54"/>
      <c r="S54" s="55"/>
      <c r="T54" s="55"/>
      <c r="U54" s="55"/>
      <c r="V54" s="55"/>
    </row>
    <row r="55" spans="1:2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4"/>
      <c r="L55" s="74" t="s">
        <v>26</v>
      </c>
      <c r="M55" s="75">
        <v>7.3300000000000004E-2</v>
      </c>
      <c r="N55" s="116"/>
      <c r="O55" s="117"/>
      <c r="P55" s="118"/>
      <c r="Q55" s="12">
        <f t="shared" si="2"/>
        <v>0</v>
      </c>
      <c r="R55" s="54"/>
      <c r="S55" s="55"/>
      <c r="T55" s="55"/>
      <c r="U55" s="55"/>
      <c r="V55" s="55"/>
    </row>
    <row r="56" spans="1:22" ht="83.4" thickBo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4"/>
      <c r="L56" s="76" t="s">
        <v>27</v>
      </c>
      <c r="M56" s="77"/>
      <c r="N56" s="102"/>
      <c r="O56" s="103"/>
      <c r="P56" s="104"/>
      <c r="Q56" s="12">
        <f t="shared" si="2"/>
        <v>0</v>
      </c>
      <c r="R56" s="54"/>
      <c r="S56" s="55"/>
      <c r="T56" s="55"/>
      <c r="U56" s="55"/>
      <c r="V56" s="55"/>
    </row>
    <row r="57" spans="1:22" ht="15.75" customHeight="1" thickBo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4"/>
      <c r="L57" s="78" t="s">
        <v>54</v>
      </c>
      <c r="M57" s="79"/>
      <c r="N57" s="105"/>
      <c r="O57" s="106"/>
      <c r="P57" s="107"/>
      <c r="Q57" s="13">
        <f>SUM(Q36:Q56)</f>
        <v>0</v>
      </c>
      <c r="R57" s="54"/>
      <c r="S57" s="55"/>
      <c r="T57" s="55"/>
      <c r="U57" s="55"/>
      <c r="V57" s="55"/>
    </row>
    <row r="58" spans="1:22" ht="32.2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4"/>
      <c r="L58" s="54"/>
      <c r="M58" s="54"/>
      <c r="N58" s="54"/>
      <c r="O58" s="54"/>
      <c r="P58" s="54"/>
      <c r="Q58" s="54"/>
      <c r="R58" s="54"/>
      <c r="S58" s="55"/>
      <c r="T58" s="55"/>
      <c r="U58" s="55"/>
      <c r="V58" s="55"/>
    </row>
    <row r="59" spans="1:2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</sheetData>
  <sheetProtection algorithmName="SHA-512" hashValue="nyHnjkdCK07IwkQ/yXuSSWXdJFPNq8ITE8V8McoPBIBr74w1WHn5+jJunSsBPKr3Duoe8hEsyegW5Wk8CM1ovQ==" saltValue="efdv4vF7jc/0a1tgTSYIKA==" spinCount="100000" sheet="1" objects="1" scenarios="1"/>
  <mergeCells count="84">
    <mergeCell ref="D35:F35"/>
    <mergeCell ref="C35:C36"/>
    <mergeCell ref="M8:M9"/>
    <mergeCell ref="G35:G36"/>
    <mergeCell ref="H35:H36"/>
    <mergeCell ref="D8:F8"/>
    <mergeCell ref="C8:C9"/>
    <mergeCell ref="G8:G9"/>
    <mergeCell ref="H8:H9"/>
    <mergeCell ref="I8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K8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N35:P35"/>
    <mergeCell ref="N36:P36"/>
    <mergeCell ref="N38:P38"/>
    <mergeCell ref="N39:P39"/>
    <mergeCell ref="N49:P49"/>
    <mergeCell ref="P24:Q25"/>
    <mergeCell ref="N50:P50"/>
    <mergeCell ref="N40:P40"/>
    <mergeCell ref="N41:P41"/>
    <mergeCell ref="N43:P43"/>
    <mergeCell ref="N44:P44"/>
    <mergeCell ref="N45:P45"/>
    <mergeCell ref="N48:P48"/>
    <mergeCell ref="N56:P56"/>
    <mergeCell ref="N57:P57"/>
    <mergeCell ref="L42:L43"/>
    <mergeCell ref="M42:M43"/>
    <mergeCell ref="Q26:S26"/>
    <mergeCell ref="Q27:S27"/>
    <mergeCell ref="Q28:S28"/>
    <mergeCell ref="Q29:S29"/>
    <mergeCell ref="N51:P51"/>
    <mergeCell ref="N52:P52"/>
    <mergeCell ref="N53:P53"/>
    <mergeCell ref="N54:P54"/>
    <mergeCell ref="N55:P55"/>
    <mergeCell ref="N46:P46"/>
    <mergeCell ref="N47:P47"/>
    <mergeCell ref="N37:P3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7B0411E-3A25-45D6-8AE4-8BF7CBF6399E}">
          <x14:formula1>
            <xm:f>'Data ark'!$H$7:$H$12</xm:f>
          </x14:formula1>
          <xm:sqref>H10:H30</xm:sqref>
        </x14:dataValidation>
        <x14:dataValidation type="list" allowBlank="1" showInputMessage="1" showErrorMessage="1" xr:uid="{EEF4228D-6053-4F5B-A73B-6CDEB271EF1B}">
          <x14:formula1>
            <xm:f>'Data ark'!$B$7:$B$26</xm:f>
          </x14:formula1>
          <xm:sqref>C10:C30</xm:sqref>
        </x14:dataValidation>
        <x14:dataValidation type="list" allowBlank="1" showInputMessage="1" showErrorMessage="1" xr:uid="{E188C635-106C-4A79-95F6-10957CDC4E18}">
          <x14:formula1>
            <xm:f>'Data ark'!$H$16:$H$19</xm:f>
          </x14:formula1>
          <xm:sqref>C37:C40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0"/>
  <sheetViews>
    <sheetView showGridLines="0" zoomScale="89" zoomScaleNormal="89" workbookViewId="0">
      <selection activeCell="K20" sqref="K20"/>
    </sheetView>
  </sheetViews>
  <sheetFormatPr defaultColWidth="9.109375" defaultRowHeight="13.8"/>
  <cols>
    <col min="1" max="1" width="9.109375" style="25"/>
    <col min="2" max="2" width="51.109375" style="25" bestFit="1" customWidth="1"/>
    <col min="3" max="3" width="9.109375" style="25"/>
    <col min="4" max="4" width="13.44140625" style="25" bestFit="1" customWidth="1"/>
    <col min="5" max="5" width="11.6640625" style="25" bestFit="1" customWidth="1"/>
    <col min="6" max="7" width="9.109375" style="25"/>
    <col min="8" max="8" width="32.88671875" style="25" bestFit="1" customWidth="1"/>
    <col min="9" max="10" width="9.109375" style="25"/>
    <col min="11" max="11" width="24.6640625" style="25" bestFit="1" customWidth="1"/>
    <col min="12" max="13" width="14.6640625" style="25" bestFit="1" customWidth="1"/>
    <col min="14" max="14" width="15.88671875" style="25" bestFit="1" customWidth="1"/>
    <col min="15" max="15" width="18.88671875" style="25" customWidth="1"/>
    <col min="16" max="16" width="19.109375" style="25" bestFit="1" customWidth="1"/>
    <col min="17" max="17" width="9.109375" style="25"/>
    <col min="18" max="18" width="18.88671875" style="25" bestFit="1" customWidth="1"/>
    <col min="19" max="16384" width="9.109375" style="25"/>
  </cols>
  <sheetData>
    <row r="1" spans="1:23" ht="16.2">
      <c r="A1" s="24"/>
      <c r="B1" s="1"/>
      <c r="C1" s="2" t="s">
        <v>58</v>
      </c>
      <c r="D1" s="1"/>
      <c r="E1" s="1"/>
      <c r="F1" s="1"/>
      <c r="G1" s="1"/>
      <c r="H1" s="1"/>
      <c r="I1" s="24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24"/>
      <c r="B2" s="1"/>
      <c r="C2" s="1"/>
      <c r="D2" s="1"/>
      <c r="E2" s="1"/>
      <c r="F2" s="1"/>
      <c r="G2" s="1"/>
      <c r="H2" s="1"/>
      <c r="I2" s="1"/>
      <c r="J2" s="2"/>
      <c r="K2" s="2"/>
      <c r="L2" s="26"/>
      <c r="M2" s="26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9.8">
      <c r="A4" s="24"/>
      <c r="B4" s="27" t="s">
        <v>57</v>
      </c>
      <c r="C4" s="24"/>
      <c r="D4" s="1"/>
      <c r="E4" s="1"/>
      <c r="F4" s="1"/>
      <c r="G4" s="1"/>
      <c r="H4" s="1"/>
      <c r="I4" s="1"/>
      <c r="J4" s="1">
        <f>Indtastning!Q4</f>
        <v>0</v>
      </c>
      <c r="K4" s="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399999999999999">
      <c r="A5" s="4"/>
      <c r="B5" s="4"/>
      <c r="C5" s="4"/>
      <c r="D5" s="5"/>
      <c r="E5" s="5"/>
      <c r="F5" s="5"/>
      <c r="G5" s="5"/>
      <c r="H5" s="5"/>
      <c r="I5" s="5"/>
      <c r="J5" s="5"/>
      <c r="K5" s="5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</row>
    <row r="6" spans="1:23">
      <c r="A6" s="24"/>
      <c r="B6" s="30" t="s">
        <v>0</v>
      </c>
      <c r="C6" s="30" t="s">
        <v>28</v>
      </c>
      <c r="D6" s="30" t="s">
        <v>29</v>
      </c>
      <c r="E6" s="30" t="s">
        <v>6</v>
      </c>
      <c r="F6" s="31"/>
      <c r="G6" s="31"/>
      <c r="H6" s="32" t="s">
        <v>1</v>
      </c>
      <c r="I6" s="31"/>
      <c r="J6" s="24"/>
      <c r="K6" s="33"/>
      <c r="L6" s="34"/>
      <c r="M6" s="34"/>
      <c r="N6" s="34"/>
      <c r="O6" s="35"/>
      <c r="P6" s="34"/>
    </row>
    <row r="7" spans="1:23">
      <c r="A7" s="24"/>
      <c r="B7" s="36" t="s">
        <v>7</v>
      </c>
      <c r="C7" s="37" t="s">
        <v>14</v>
      </c>
      <c r="D7" s="38">
        <v>15.07</v>
      </c>
      <c r="E7" s="37">
        <v>63.03</v>
      </c>
      <c r="F7" s="39" t="s">
        <v>38</v>
      </c>
      <c r="G7" s="40"/>
      <c r="H7" s="31" t="s">
        <v>33</v>
      </c>
      <c r="I7" s="31"/>
      <c r="J7" s="24"/>
      <c r="K7" s="41"/>
      <c r="L7" s="42"/>
      <c r="M7" s="42"/>
      <c r="N7" s="42"/>
      <c r="O7" s="42"/>
      <c r="P7" s="42"/>
    </row>
    <row r="8" spans="1:23">
      <c r="A8" s="24"/>
      <c r="B8" s="43" t="s">
        <v>8</v>
      </c>
      <c r="C8" s="37" t="s">
        <v>14</v>
      </c>
      <c r="D8" s="38">
        <v>14.05</v>
      </c>
      <c r="E8" s="44">
        <v>58.77</v>
      </c>
      <c r="F8" s="39" t="s">
        <v>38</v>
      </c>
      <c r="G8" s="40"/>
      <c r="H8" s="31" t="s">
        <v>31</v>
      </c>
      <c r="I8" s="31"/>
      <c r="J8" s="24"/>
      <c r="K8" s="41"/>
      <c r="L8" s="42"/>
      <c r="M8" s="42"/>
      <c r="N8" s="42"/>
      <c r="O8" s="42"/>
      <c r="P8" s="42"/>
    </row>
    <row r="9" spans="1:23">
      <c r="A9" s="24"/>
      <c r="B9" s="45" t="s">
        <v>37</v>
      </c>
      <c r="C9" s="37" t="s">
        <v>14</v>
      </c>
      <c r="D9" s="38">
        <v>13.93</v>
      </c>
      <c r="E9" s="46">
        <v>58.27</v>
      </c>
      <c r="F9" s="39" t="s">
        <v>38</v>
      </c>
      <c r="G9" s="40"/>
      <c r="H9" s="31" t="s">
        <v>30</v>
      </c>
      <c r="I9" s="31"/>
      <c r="J9" s="24"/>
      <c r="K9" s="24"/>
    </row>
    <row r="10" spans="1:23">
      <c r="A10" s="24"/>
      <c r="B10" s="47" t="s">
        <v>9</v>
      </c>
      <c r="C10" s="37" t="s">
        <v>14</v>
      </c>
      <c r="D10" s="38">
        <v>15.95</v>
      </c>
      <c r="E10" s="46">
        <v>66.709999999999994</v>
      </c>
      <c r="F10" s="39" t="s">
        <v>38</v>
      </c>
      <c r="G10" s="40"/>
      <c r="H10" s="31" t="s">
        <v>32</v>
      </c>
      <c r="I10" s="31"/>
      <c r="J10" s="24"/>
      <c r="K10" s="24"/>
    </row>
    <row r="11" spans="1:23">
      <c r="A11" s="24"/>
      <c r="B11" s="47" t="s">
        <v>10</v>
      </c>
      <c r="C11" s="37" t="s">
        <v>14</v>
      </c>
      <c r="D11" s="38">
        <v>14.36</v>
      </c>
      <c r="E11" s="46">
        <v>60.06</v>
      </c>
      <c r="F11" s="39" t="s">
        <v>38</v>
      </c>
      <c r="G11" s="40"/>
      <c r="H11" s="31" t="s">
        <v>3</v>
      </c>
      <c r="I11" s="31"/>
      <c r="J11" s="24"/>
      <c r="K11" s="24"/>
    </row>
    <row r="12" spans="1:23">
      <c r="A12" s="24"/>
      <c r="B12" s="45" t="s">
        <v>11</v>
      </c>
      <c r="C12" s="37" t="s">
        <v>14</v>
      </c>
      <c r="D12" s="38">
        <v>15.07</v>
      </c>
      <c r="E12" s="46">
        <v>63.03</v>
      </c>
      <c r="F12" s="39" t="s">
        <v>38</v>
      </c>
      <c r="G12" s="40"/>
      <c r="H12" s="31" t="s">
        <v>4</v>
      </c>
      <c r="I12" s="31"/>
      <c r="J12" s="24"/>
      <c r="K12" s="24"/>
    </row>
    <row r="13" spans="1:23">
      <c r="A13" s="24"/>
      <c r="B13" s="45" t="s">
        <v>12</v>
      </c>
      <c r="C13" s="37" t="s">
        <v>14</v>
      </c>
      <c r="D13" s="38">
        <v>19.34</v>
      </c>
      <c r="E13" s="46">
        <v>80.900000000000006</v>
      </c>
      <c r="F13" s="39" t="s">
        <v>39</v>
      </c>
      <c r="G13" s="40"/>
      <c r="H13" s="31"/>
      <c r="I13" s="31"/>
      <c r="J13" s="24"/>
      <c r="K13" s="24"/>
    </row>
    <row r="14" spans="1:23">
      <c r="A14" s="24"/>
      <c r="B14" s="45" t="s">
        <v>15</v>
      </c>
      <c r="C14" s="37" t="s">
        <v>14</v>
      </c>
      <c r="D14" s="38">
        <v>18.739999999999998</v>
      </c>
      <c r="E14" s="46">
        <v>78.400000000000006</v>
      </c>
      <c r="F14" s="39" t="s">
        <v>39</v>
      </c>
      <c r="G14" s="40"/>
      <c r="H14" s="31"/>
      <c r="I14" s="31"/>
      <c r="J14" s="24"/>
      <c r="K14" s="24"/>
    </row>
    <row r="15" spans="1:23">
      <c r="A15" s="24"/>
      <c r="B15" s="45" t="s">
        <v>16</v>
      </c>
      <c r="C15" s="37" t="s">
        <v>14</v>
      </c>
      <c r="D15" s="38">
        <f>SUM(E15/4.35)*1.04</f>
        <v>19.341609195402302</v>
      </c>
      <c r="E15" s="46">
        <v>80.900000000000006</v>
      </c>
      <c r="F15" s="39" t="s">
        <v>39</v>
      </c>
      <c r="G15" s="40"/>
      <c r="H15" s="85" t="s">
        <v>1</v>
      </c>
      <c r="I15" s="31"/>
      <c r="J15" s="24"/>
      <c r="K15" s="24"/>
    </row>
    <row r="16" spans="1:23">
      <c r="A16" s="24"/>
      <c r="B16" s="47" t="s">
        <v>17</v>
      </c>
      <c r="C16" s="37" t="s">
        <v>14</v>
      </c>
      <c r="D16" s="38">
        <v>12.9</v>
      </c>
      <c r="E16" s="46">
        <v>53.96</v>
      </c>
      <c r="F16" s="39" t="s">
        <v>39</v>
      </c>
      <c r="G16" s="40"/>
      <c r="H16" s="86" t="s">
        <v>33</v>
      </c>
      <c r="I16" s="31"/>
      <c r="J16" s="24"/>
      <c r="K16" s="24"/>
    </row>
    <row r="17" spans="1:11">
      <c r="A17" s="24"/>
      <c r="B17" s="47" t="s">
        <v>18</v>
      </c>
      <c r="C17" s="37" t="s">
        <v>14</v>
      </c>
      <c r="D17" s="38">
        <v>12.12</v>
      </c>
      <c r="E17" s="46">
        <v>50.69</v>
      </c>
      <c r="F17" s="39" t="s">
        <v>39</v>
      </c>
      <c r="G17" s="40"/>
      <c r="H17" s="86" t="s">
        <v>30</v>
      </c>
      <c r="I17" s="31"/>
      <c r="J17" s="24"/>
      <c r="K17" s="24"/>
    </row>
    <row r="18" spans="1:11">
      <c r="A18" s="24"/>
      <c r="B18" s="47" t="s">
        <v>19</v>
      </c>
      <c r="C18" s="37" t="s">
        <v>14</v>
      </c>
      <c r="D18" s="38">
        <v>12.04</v>
      </c>
      <c r="E18" s="46">
        <v>50.36</v>
      </c>
      <c r="F18" s="39" t="s">
        <v>39</v>
      </c>
      <c r="G18" s="40"/>
      <c r="H18" s="86" t="s">
        <v>4</v>
      </c>
      <c r="I18" s="31"/>
      <c r="J18" s="24"/>
      <c r="K18" s="24"/>
    </row>
    <row r="19" spans="1:11" ht="26.4">
      <c r="A19" s="24"/>
      <c r="B19" s="47" t="s">
        <v>20</v>
      </c>
      <c r="C19" s="37" t="s">
        <v>14</v>
      </c>
      <c r="D19" s="38">
        <v>11.6</v>
      </c>
      <c r="E19" s="46">
        <v>48.52</v>
      </c>
      <c r="F19" s="39" t="s">
        <v>39</v>
      </c>
      <c r="G19" s="40"/>
      <c r="H19" s="86" t="s">
        <v>3</v>
      </c>
      <c r="I19" s="31"/>
      <c r="J19" s="24"/>
      <c r="K19" s="24"/>
    </row>
    <row r="20" spans="1:11" ht="39.6">
      <c r="A20" s="24"/>
      <c r="B20" s="47" t="s">
        <v>21</v>
      </c>
      <c r="C20" s="37" t="s">
        <v>14</v>
      </c>
      <c r="D20" s="38">
        <v>1.99</v>
      </c>
      <c r="E20" s="46">
        <v>8.32</v>
      </c>
      <c r="F20" s="39" t="s">
        <v>39</v>
      </c>
      <c r="G20" s="40"/>
      <c r="H20" s="86"/>
      <c r="I20" s="31"/>
      <c r="J20" s="24"/>
      <c r="K20" s="24"/>
    </row>
    <row r="21" spans="1:11">
      <c r="A21" s="24"/>
      <c r="B21" s="45" t="s">
        <v>22</v>
      </c>
      <c r="C21" s="37" t="s">
        <v>14</v>
      </c>
      <c r="D21" s="38">
        <v>14.86</v>
      </c>
      <c r="E21" s="46">
        <v>62.15</v>
      </c>
      <c r="F21" s="39" t="s">
        <v>39</v>
      </c>
      <c r="G21" s="40"/>
      <c r="H21" s="31"/>
      <c r="I21" s="31"/>
      <c r="J21" s="24"/>
      <c r="K21" s="24"/>
    </row>
    <row r="22" spans="1:11">
      <c r="A22" s="24"/>
      <c r="B22" s="45" t="s">
        <v>23</v>
      </c>
      <c r="C22" s="37" t="s">
        <v>14</v>
      </c>
      <c r="D22" s="38">
        <v>14.16</v>
      </c>
      <c r="E22" s="46">
        <v>59.23</v>
      </c>
      <c r="F22" s="39" t="s">
        <v>39</v>
      </c>
      <c r="G22" s="40"/>
      <c r="H22" s="31"/>
      <c r="I22" s="31"/>
      <c r="J22" s="24"/>
      <c r="K22" s="24"/>
    </row>
    <row r="23" spans="1:11">
      <c r="A23" s="24"/>
      <c r="B23" s="45" t="s">
        <v>24</v>
      </c>
      <c r="C23" s="37" t="s">
        <v>14</v>
      </c>
      <c r="D23" s="38">
        <v>13.41</v>
      </c>
      <c r="E23" s="46">
        <v>56.09</v>
      </c>
      <c r="F23" s="39" t="s">
        <v>39</v>
      </c>
      <c r="G23" s="40"/>
      <c r="H23" s="31"/>
      <c r="I23" s="31"/>
      <c r="J23" s="24"/>
      <c r="K23" s="24"/>
    </row>
    <row r="24" spans="1:11" ht="26.4">
      <c r="A24" s="24"/>
      <c r="B24" s="47" t="s">
        <v>25</v>
      </c>
      <c r="C24" s="46" t="s">
        <v>13</v>
      </c>
      <c r="D24" s="38">
        <v>203.65</v>
      </c>
      <c r="E24" s="46">
        <v>851.8</v>
      </c>
      <c r="F24" s="39"/>
      <c r="G24" s="40"/>
      <c r="H24" s="31"/>
      <c r="I24" s="8"/>
      <c r="J24" s="1"/>
      <c r="K24" s="1"/>
    </row>
    <row r="25" spans="1:11">
      <c r="A25" s="24"/>
      <c r="B25" s="47" t="s">
        <v>26</v>
      </c>
      <c r="C25" s="46" t="s">
        <v>45</v>
      </c>
      <c r="D25" s="38">
        <v>13.04</v>
      </c>
      <c r="E25" s="46">
        <v>54.54</v>
      </c>
      <c r="F25" s="39" t="s">
        <v>38</v>
      </c>
      <c r="G25" s="40"/>
      <c r="H25" s="31"/>
      <c r="I25" s="8"/>
      <c r="J25" s="48"/>
      <c r="K25" s="49"/>
    </row>
    <row r="26" spans="1:11" ht="39.6">
      <c r="A26" s="24"/>
      <c r="B26" s="47" t="s">
        <v>27</v>
      </c>
      <c r="C26" s="46" t="s">
        <v>14</v>
      </c>
      <c r="D26" s="38">
        <v>1.36</v>
      </c>
      <c r="E26" s="46">
        <v>5.7</v>
      </c>
      <c r="F26" s="39" t="s">
        <v>39</v>
      </c>
      <c r="G26" s="40"/>
      <c r="H26" s="31"/>
      <c r="I26" s="8"/>
      <c r="J26" s="48"/>
      <c r="K26" s="49"/>
    </row>
    <row r="27" spans="1:11">
      <c r="A27" s="24"/>
      <c r="B27" s="24"/>
      <c r="C27" s="24"/>
      <c r="D27" s="24"/>
      <c r="E27" s="24"/>
      <c r="F27" s="24"/>
      <c r="G27" s="24"/>
      <c r="H27" s="24"/>
      <c r="I27" s="1"/>
      <c r="J27" s="48"/>
      <c r="K27" s="49"/>
    </row>
    <row r="28" spans="1:11">
      <c r="A28" s="24"/>
      <c r="B28" s="24"/>
      <c r="C28" s="24"/>
      <c r="D28" s="24"/>
      <c r="E28" s="24"/>
      <c r="F28" s="24"/>
      <c r="G28" s="24"/>
      <c r="H28" s="24"/>
      <c r="I28" s="1"/>
      <c r="J28" s="48"/>
      <c r="K28" s="49"/>
    </row>
    <row r="29" spans="1:11">
      <c r="A29" s="24"/>
      <c r="B29" s="24"/>
      <c r="C29" s="24"/>
      <c r="D29" s="24"/>
      <c r="E29" s="24"/>
      <c r="F29" s="24"/>
      <c r="G29" s="24"/>
      <c r="H29" s="24"/>
      <c r="I29" s="1"/>
      <c r="J29" s="48"/>
      <c r="K29" s="49"/>
    </row>
    <row r="30" spans="1:11">
      <c r="I30" s="3"/>
      <c r="J30" s="50"/>
      <c r="K30" s="51"/>
    </row>
    <row r="31" spans="1:11">
      <c r="I31" s="3"/>
      <c r="J31" s="50"/>
      <c r="K31" s="51"/>
    </row>
    <row r="32" spans="1:11">
      <c r="I32" s="3"/>
      <c r="J32" s="50"/>
      <c r="K32" s="51"/>
    </row>
    <row r="33" spans="9:11">
      <c r="I33" s="3"/>
      <c r="J33" s="50"/>
      <c r="K33" s="51"/>
    </row>
    <row r="34" spans="9:11">
      <c r="I34" s="3"/>
      <c r="J34" s="50"/>
      <c r="K34" s="51"/>
    </row>
    <row r="35" spans="9:11">
      <c r="I35" s="3"/>
      <c r="J35" s="50"/>
      <c r="K35" s="51"/>
    </row>
    <row r="36" spans="9:11">
      <c r="I36" s="3"/>
      <c r="J36" s="50"/>
      <c r="K36" s="51"/>
    </row>
    <row r="37" spans="9:11">
      <c r="I37" s="3"/>
      <c r="J37" s="50"/>
      <c r="K37" s="51"/>
    </row>
    <row r="38" spans="9:11">
      <c r="I38" s="3"/>
      <c r="J38" s="50"/>
      <c r="K38" s="51"/>
    </row>
    <row r="39" spans="9:11">
      <c r="I39" s="3"/>
      <c r="J39" s="50"/>
      <c r="K39" s="51"/>
    </row>
    <row r="40" spans="9:11">
      <c r="I40" s="3"/>
      <c r="J40" s="50"/>
      <c r="K40" s="51"/>
    </row>
    <row r="41" spans="9:11">
      <c r="I41" s="3"/>
      <c r="J41" s="50"/>
      <c r="K41" s="51"/>
    </row>
    <row r="42" spans="9:11">
      <c r="I42" s="3"/>
      <c r="J42" s="50"/>
      <c r="K42" s="51"/>
    </row>
    <row r="43" spans="9:11">
      <c r="I43" s="3"/>
      <c r="J43" s="50"/>
      <c r="K43" s="51"/>
    </row>
    <row r="44" spans="9:11">
      <c r="I44" s="3"/>
      <c r="J44" s="50"/>
      <c r="K44" s="51"/>
    </row>
    <row r="45" spans="9:11">
      <c r="I45" s="3"/>
      <c r="J45" s="3"/>
      <c r="K45" s="3"/>
    </row>
    <row r="46" spans="9:11">
      <c r="I46" s="3"/>
      <c r="J46" s="3"/>
      <c r="K46" s="3"/>
    </row>
    <row r="47" spans="9:11">
      <c r="I47" s="3"/>
      <c r="J47" s="3"/>
      <c r="K47" s="3"/>
    </row>
    <row r="48" spans="9:11">
      <c r="I48" s="3"/>
      <c r="J48" s="3"/>
      <c r="K48" s="3"/>
    </row>
    <row r="49" spans="9:11">
      <c r="I49" s="3"/>
      <c r="J49" s="3"/>
      <c r="K49" s="3"/>
    </row>
    <row r="50" spans="9:11">
      <c r="I50" s="3"/>
      <c r="J50" s="3"/>
      <c r="K50" s="3"/>
    </row>
  </sheetData>
  <sheetProtection algorithmName="SHA-512" hashValue="fvnfj1diG+8PYej2wyhV+GJVywAGmWVevej28+CUD+UO1pAtXm0jXdvfjcaBD3ytDQsOSuEnduUYpDmA8Y0sUg==" saltValue="3UsfWTyuusjibjBJlmaMng==" spinCount="100000" sheet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Indtastning</vt:lpstr>
      <vt:lpstr>Data 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Lynge Halvorsen</dc:creator>
  <cp:lastModifiedBy>Anders Bloch</cp:lastModifiedBy>
  <dcterms:created xsi:type="dcterms:W3CDTF">2025-02-11T10:35:47Z</dcterms:created>
  <dcterms:modified xsi:type="dcterms:W3CDTF">2025-07-10T12:55:19Z</dcterms:modified>
</cp:coreProperties>
</file>