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codeName="Denne_projektmappe"/>
  <xr:revisionPtr revIDLastSave="0" documentId="13_ncr:1_{E728E79A-1882-4201-8300-F111439E649C}" xr6:coauthVersionLast="36" xr6:coauthVersionMax="36" xr10:uidLastSave="{00000000-0000-0000-0000-000000000000}"/>
  <workbookProtection workbookAlgorithmName="SHA-512" workbookHashValue="3WQBocuzISOadqAmOrVNRYEGYlsZ7n+AtjYJGAt3hny40iDy1K8i7IV7rREoayLUWxQQPtuVjDzRuQeZH0BVfQ==" workbookSaltValue="V21Lkp6Zulibonr7oXVMgQ==" workbookSpinCount="100000" lockStructure="1"/>
  <bookViews>
    <workbookView xWindow="-120" yWindow="-120" windowWidth="29040" windowHeight="15720" xr2:uid="{00000000-000D-0000-FFFF-FFFF00000000}"/>
  </bookViews>
  <sheets>
    <sheet name="Forside" sheetId="7" r:id="rId1"/>
    <sheet name="Beskrivelse" sheetId="8" r:id="rId2"/>
    <sheet name="Tiltag 1" sheetId="11" r:id="rId3"/>
    <sheet name="Tiltag 4" sheetId="33" state="hidden" r:id="rId4"/>
    <sheet name="Tiltag 2" sheetId="38" r:id="rId5"/>
    <sheet name="Tiltag 3" sheetId="36" r:id="rId6"/>
    <sheet name="Nøgletal" sheetId="9" state="hidden" r:id="rId7"/>
    <sheet name="Grise - regneark" sheetId="17" state="hidden" r:id="rId8"/>
    <sheet name="Kyllinge - regneark" sheetId="34" state="hidden" r:id="rId9"/>
  </sheets>
  <externalReferences>
    <externalReference r:id="rId10"/>
  </externalReferences>
  <definedNames>
    <definedName name="_ftn1" localSheetId="6">Nøgletal!$H$15</definedName>
    <definedName name="_ftnref1" localSheetId="6">Nøgletal!$H$12</definedName>
    <definedName name="Branche" localSheetId="4">#REF!</definedName>
    <definedName name="Branche">#REF!</definedName>
    <definedName name="Kedelliste" localSheetId="4">#REF!</definedName>
    <definedName name="Kedelliste">#REF!</definedName>
    <definedName name="Manuel" localSheetId="4">#REF!</definedName>
    <definedName name="Manuel">#REF!</definedName>
    <definedName name="Procesenergi" localSheetId="4">#REF!</definedName>
    <definedName name="Procesenergi">#REF!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2" i="36" l="1"/>
  <c r="G39" i="36"/>
  <c r="G38" i="36"/>
  <c r="G36" i="36"/>
  <c r="G35" i="36"/>
  <c r="M48" i="38"/>
  <c r="M46" i="38"/>
  <c r="H48" i="38"/>
  <c r="H45" i="38"/>
  <c r="E36" i="11"/>
  <c r="E39" i="11"/>
  <c r="N11" i="17" l="1"/>
  <c r="P11" i="17"/>
  <c r="T4" i="36"/>
  <c r="M11" i="17" l="1"/>
  <c r="K11" i="17"/>
  <c r="L11" i="17"/>
  <c r="W4" i="38"/>
  <c r="Q4" i="11"/>
  <c r="O8" i="36" l="1"/>
  <c r="P10" i="38" l="1"/>
  <c r="B4" i="36" l="1"/>
  <c r="B4" i="38"/>
  <c r="B4" i="11"/>
  <c r="O50" i="17" l="1"/>
  <c r="M49" i="34"/>
  <c r="C39" i="9"/>
  <c r="C13" i="9" l="1"/>
  <c r="I13" i="9" l="1"/>
  <c r="G20" i="9"/>
  <c r="C19" i="38"/>
  <c r="O59" i="17" l="1"/>
  <c r="O61" i="17"/>
  <c r="O60" i="17"/>
  <c r="G30" i="17"/>
  <c r="R51" i="17"/>
  <c r="O51" i="17"/>
  <c r="K29" i="38"/>
  <c r="K30" i="38"/>
  <c r="K28" i="38"/>
  <c r="I30" i="38"/>
  <c r="I29" i="38"/>
  <c r="I28" i="38"/>
  <c r="P12" i="17"/>
  <c r="P13" i="17"/>
  <c r="R13" i="17" s="1"/>
  <c r="N13" i="17"/>
  <c r="N12" i="17"/>
  <c r="R14" i="17"/>
  <c r="P9" i="38"/>
  <c r="P8" i="38"/>
  <c r="M13" i="17" l="1"/>
  <c r="L13" i="17"/>
  <c r="T13" i="17" s="1"/>
  <c r="K13" i="17"/>
  <c r="M12" i="17"/>
  <c r="K12" i="17"/>
  <c r="L12" i="17"/>
  <c r="L12" i="38"/>
  <c r="B12" i="38" s="1"/>
  <c r="R11" i="17"/>
  <c r="M19" i="38" s="1"/>
  <c r="M28" i="38" s="1"/>
  <c r="R12" i="17"/>
  <c r="M21" i="38"/>
  <c r="M30" i="38" s="1"/>
  <c r="C19" i="36"/>
  <c r="M62" i="34"/>
  <c r="M63" i="34"/>
  <c r="M64" i="34"/>
  <c r="M51" i="34"/>
  <c r="M50" i="34"/>
  <c r="B32" i="34"/>
  <c r="C32" i="34"/>
  <c r="D32" i="34" s="1"/>
  <c r="M20" i="38" l="1"/>
  <c r="M29" i="38" s="1"/>
  <c r="B42" i="34"/>
  <c r="C42" i="34" s="1"/>
  <c r="I20" i="36" s="1"/>
  <c r="B45" i="34" s="1"/>
  <c r="C45" i="34" s="1"/>
  <c r="D45" i="34" s="1"/>
  <c r="O10" i="36"/>
  <c r="O9" i="36"/>
  <c r="E21" i="33"/>
  <c r="G24" i="33"/>
  <c r="I20" i="33"/>
  <c r="I22" i="33"/>
  <c r="I23" i="33"/>
  <c r="I40" i="33"/>
  <c r="U32" i="33"/>
  <c r="E45" i="34" l="1"/>
  <c r="I21" i="36"/>
  <c r="L12" i="36"/>
  <c r="C12" i="36" s="1"/>
  <c r="C20" i="33"/>
  <c r="L66" i="34" l="1"/>
  <c r="N66" i="34"/>
  <c r="O16" i="33" l="1"/>
  <c r="I21" i="33" l="1"/>
  <c r="I24" i="33" s="1"/>
  <c r="O17" i="33" s="1"/>
  <c r="M20" i="9" l="1"/>
  <c r="C16" i="9"/>
  <c r="C17" i="9"/>
  <c r="O19" i="33"/>
  <c r="I9" i="11" l="1"/>
  <c r="R8" i="33" l="1"/>
  <c r="R10" i="33"/>
  <c r="R11" i="33"/>
  <c r="R9" i="33"/>
  <c r="J13" i="33" l="1"/>
  <c r="I10" i="11"/>
  <c r="C30" i="17" l="1"/>
  <c r="C31" i="17"/>
  <c r="C32" i="17"/>
  <c r="C39" i="33" s="1"/>
  <c r="J37" i="33" l="1"/>
  <c r="B33" i="34"/>
  <c r="D33" i="34" s="1"/>
  <c r="C33" i="34"/>
  <c r="B34" i="34"/>
  <c r="C34" i="34"/>
  <c r="S16" i="34"/>
  <c r="S15" i="34"/>
  <c r="D34" i="34" l="1"/>
  <c r="B2" i="33" l="1"/>
  <c r="M17" i="9" l="1"/>
  <c r="O17" i="9" s="1"/>
  <c r="Q44" i="9"/>
  <c r="O18" i="9" l="1"/>
  <c r="O26" i="9"/>
  <c r="T37" i="34" l="1"/>
  <c r="S37" i="34"/>
  <c r="N37" i="34"/>
  <c r="T36" i="34"/>
  <c r="S36" i="34"/>
  <c r="T35" i="34"/>
  <c r="S35" i="34"/>
  <c r="P35" i="34"/>
  <c r="N35" i="34"/>
  <c r="T34" i="34"/>
  <c r="S34" i="34"/>
  <c r="T33" i="34"/>
  <c r="S33" i="34"/>
  <c r="T32" i="34"/>
  <c r="S32" i="34"/>
  <c r="P32" i="34"/>
  <c r="N32" i="34"/>
  <c r="N27" i="34"/>
  <c r="P24" i="34"/>
  <c r="N24" i="34"/>
  <c r="S22" i="34"/>
  <c r="S20" i="34"/>
  <c r="P20" i="34"/>
  <c r="N20" i="34"/>
  <c r="H13" i="34"/>
  <c r="H12" i="34"/>
  <c r="H11" i="34"/>
  <c r="E20" i="33"/>
  <c r="C13" i="33" l="1"/>
  <c r="O20" i="33" l="1"/>
  <c r="O23" i="33" s="1"/>
  <c r="M6" i="9"/>
  <c r="O6" i="9" s="1"/>
  <c r="O7" i="9" s="1"/>
  <c r="V37" i="17"/>
  <c r="U37" i="17"/>
  <c r="P37" i="17"/>
  <c r="V36" i="17"/>
  <c r="U36" i="17"/>
  <c r="V35" i="17"/>
  <c r="U35" i="17"/>
  <c r="R35" i="17"/>
  <c r="P35" i="17"/>
  <c r="V34" i="17"/>
  <c r="U34" i="17"/>
  <c r="V33" i="17"/>
  <c r="U33" i="17"/>
  <c r="V32" i="17"/>
  <c r="U32" i="17"/>
  <c r="R32" i="17"/>
  <c r="P32" i="17"/>
  <c r="P27" i="17"/>
  <c r="U25" i="17"/>
  <c r="V25" i="17"/>
  <c r="U24" i="17"/>
  <c r="R24" i="17"/>
  <c r="P24" i="17"/>
  <c r="V23" i="17"/>
  <c r="U23" i="17"/>
  <c r="V22" i="17"/>
  <c r="U22" i="17"/>
  <c r="U21" i="17"/>
  <c r="V20" i="17"/>
  <c r="V21" i="17" s="1"/>
  <c r="U20" i="17"/>
  <c r="R20" i="17"/>
  <c r="P20" i="17"/>
  <c r="H13" i="17"/>
  <c r="H12" i="17"/>
  <c r="H11" i="17"/>
  <c r="T12" i="17" l="1"/>
  <c r="N20" i="38" s="1"/>
  <c r="T11" i="17"/>
  <c r="N21" i="38"/>
  <c r="U11" i="17"/>
  <c r="U13" i="17"/>
  <c r="N30" i="38" s="1"/>
  <c r="U12" i="17"/>
  <c r="N29" i="38" s="1"/>
  <c r="O32" i="9"/>
  <c r="O33" i="9" s="1"/>
  <c r="O38" i="9"/>
  <c r="O37" i="9"/>
  <c r="O45" i="9"/>
  <c r="O44" i="9"/>
  <c r="O43" i="9"/>
  <c r="R13" i="9"/>
  <c r="R10" i="9"/>
  <c r="T14" i="17" l="1"/>
  <c r="N19" i="38"/>
  <c r="N22" i="38" s="1"/>
  <c r="N28" i="38"/>
  <c r="N31" i="38" s="1"/>
  <c r="U14" i="17"/>
  <c r="N17" i="17" s="1"/>
  <c r="P24" i="9"/>
  <c r="P18" i="9"/>
  <c r="O39" i="9"/>
  <c r="F32" i="11" s="1"/>
  <c r="N18" i="17" l="1"/>
  <c r="M49" i="38" s="1"/>
  <c r="M52" i="38" s="1"/>
  <c r="M17" i="17"/>
  <c r="V14" i="17"/>
  <c r="I16" i="9"/>
  <c r="I17" i="9"/>
  <c r="I14" i="9" s="1"/>
  <c r="I15" i="9" s="1"/>
  <c r="I51" i="11"/>
  <c r="I48" i="11"/>
  <c r="I36" i="11"/>
  <c r="C26" i="11"/>
  <c r="I11" i="11"/>
  <c r="G13" i="11" s="1"/>
  <c r="M18" i="17" l="1"/>
  <c r="H49" i="38" s="1"/>
  <c r="H52" i="38" s="1"/>
  <c r="P17" i="17"/>
  <c r="O17" i="17"/>
  <c r="I18" i="9"/>
  <c r="I50" i="11"/>
  <c r="H32" i="11"/>
  <c r="I49" i="11"/>
  <c r="O18" i="17" l="1"/>
  <c r="H46" i="38"/>
  <c r="I22" i="9"/>
  <c r="I20" i="9"/>
  <c r="O13" i="9"/>
  <c r="B13" i="11"/>
  <c r="C14" i="9" l="1"/>
  <c r="C15" i="9" s="1"/>
  <c r="C18" i="9" l="1"/>
  <c r="C21" i="9" s="1"/>
  <c r="C26" i="9" s="1"/>
  <c r="E37" i="11" s="1"/>
  <c r="C27" i="9" l="1"/>
  <c r="E40" i="11" s="1"/>
  <c r="E43" i="11" s="1"/>
  <c r="C22" i="9"/>
  <c r="O4" i="8"/>
  <c r="B2" i="8" l="1"/>
  <c r="O30" i="9" l="1"/>
  <c r="O34" i="9" s="1"/>
  <c r="O29" i="9"/>
  <c r="P9" i="9" l="1"/>
  <c r="P7" i="9"/>
  <c r="P34" i="9"/>
  <c r="P30" i="9"/>
  <c r="O11" i="9" l="1"/>
  <c r="O9" i="9" l="1"/>
  <c r="O20" i="9" l="1"/>
  <c r="O22" i="9" l="1"/>
  <c r="O24" i="9" l="1"/>
</calcChain>
</file>

<file path=xl/sharedStrings.xml><?xml version="1.0" encoding="utf-8"?>
<sst xmlns="http://schemas.openxmlformats.org/spreadsheetml/2006/main" count="693" uniqueCount="296">
  <si>
    <t>Brændsel</t>
  </si>
  <si>
    <t>Ydelse</t>
  </si>
  <si>
    <t>Halm</t>
  </si>
  <si>
    <t>Træpiller</t>
  </si>
  <si>
    <t>Flis</t>
  </si>
  <si>
    <t>Olie</t>
  </si>
  <si>
    <t>Afgrænsning af standardløsning</t>
  </si>
  <si>
    <t>•</t>
  </si>
  <si>
    <t>Ja</t>
  </si>
  <si>
    <t>Nej</t>
  </si>
  <si>
    <t>Input</t>
  </si>
  <si>
    <t>kW</t>
  </si>
  <si>
    <t>%</t>
  </si>
  <si>
    <t>Resultat</t>
  </si>
  <si>
    <t>MWh/år</t>
  </si>
  <si>
    <t>Energibesparelse pr. år</t>
  </si>
  <si>
    <t>Brændværdier</t>
  </si>
  <si>
    <t>Naturgas</t>
  </si>
  <si>
    <t>kWh/NM3</t>
  </si>
  <si>
    <t>kWh/l</t>
  </si>
  <si>
    <t>kWh/kg</t>
  </si>
  <si>
    <t>Brændværdi</t>
  </si>
  <si>
    <t>Brændselsforbrug</t>
  </si>
  <si>
    <t>Energiforbrug - brændsel</t>
  </si>
  <si>
    <t>Varmebehov</t>
  </si>
  <si>
    <t>kWh</t>
  </si>
  <si>
    <t>Mængde brændsel</t>
  </si>
  <si>
    <t>Maksimal brændselsforbrug</t>
  </si>
  <si>
    <t>Kapacitet på ny kedel</t>
  </si>
  <si>
    <t>Brændselstype i før-situationen</t>
  </si>
  <si>
    <t>Virkningsgrad for ny kedel</t>
  </si>
  <si>
    <t>Energiforbrug Efter-situation</t>
  </si>
  <si>
    <t>Energiforbrug Før-situation</t>
  </si>
  <si>
    <t>Årsvirkningsgrad for ny kedel</t>
  </si>
  <si>
    <t>Varmepumpe</t>
  </si>
  <si>
    <t>Fjernvarme</t>
  </si>
  <si>
    <t>SCOP</t>
  </si>
  <si>
    <t>Virkningsgrad for ny kedel/varmepumpe</t>
  </si>
  <si>
    <t>Kul/koks</t>
  </si>
  <si>
    <t>Gule felter skal udfyldes</t>
  </si>
  <si>
    <t>1.2</t>
  </si>
  <si>
    <t>1.1</t>
  </si>
  <si>
    <t>3.1</t>
  </si>
  <si>
    <t>Energiforbrug i efter-situationen</t>
  </si>
  <si>
    <t>Energitype i efter-situationen</t>
  </si>
  <si>
    <t>Energiforbrug i før-situationen</t>
  </si>
  <si>
    <t>Energitype i før-situationen</t>
  </si>
  <si>
    <t>Sådan kommer du i gang</t>
  </si>
  <si>
    <t>Det kan du</t>
  </si>
  <si>
    <r>
      <rPr>
        <b/>
        <sz val="9"/>
        <color theme="1"/>
        <rFont val="Calibri"/>
        <family val="2"/>
        <scheme val="minor"/>
      </rPr>
      <t>1.</t>
    </r>
    <r>
      <rPr>
        <sz val="9"/>
        <color theme="1"/>
        <rFont val="Calibri"/>
        <family val="2"/>
        <scheme val="minor"/>
      </rPr>
      <t xml:space="preserve"> Se hvilke projekter der er indbefattet standardløsningen </t>
    </r>
  </si>
  <si>
    <r>
      <rPr>
        <b/>
        <sz val="9"/>
        <color theme="1"/>
        <rFont val="Calibri"/>
        <family val="2"/>
        <scheme val="minor"/>
      </rPr>
      <t>2.</t>
    </r>
    <r>
      <rPr>
        <sz val="9"/>
        <color theme="1"/>
        <rFont val="Calibri"/>
        <family val="2"/>
        <scheme val="minor"/>
      </rPr>
      <t xml:space="preserve"> Se dokumentationskrav der er gældende for standardløsningen </t>
    </r>
  </si>
  <si>
    <r>
      <rPr>
        <b/>
        <sz val="9"/>
        <color theme="1"/>
        <rFont val="Calibri"/>
        <family val="2"/>
        <scheme val="minor"/>
      </rPr>
      <t>2.</t>
    </r>
    <r>
      <rPr>
        <sz val="9"/>
        <color theme="1"/>
        <rFont val="Calibri"/>
        <family val="2"/>
        <scheme val="minor"/>
      </rPr>
      <t xml:space="preserve"> Udfyld standardløsningen</t>
    </r>
  </si>
  <si>
    <t>Elkedel</t>
  </si>
  <si>
    <t>Stenkul</t>
  </si>
  <si>
    <t>Koks</t>
  </si>
  <si>
    <t>Fyringsolie</t>
  </si>
  <si>
    <t>Heavy Fuel Oil</t>
  </si>
  <si>
    <t>Før-situation</t>
  </si>
  <si>
    <t>Efter-situation</t>
  </si>
  <si>
    <t>Opvarmningstype</t>
  </si>
  <si>
    <t>Energityper til indtastning på portal</t>
  </si>
  <si>
    <t>Varmebehov efter</t>
  </si>
  <si>
    <t>Teoretisk energiforbrug</t>
  </si>
  <si>
    <t>Teoretisk brændselsforbrug</t>
  </si>
  <si>
    <t xml:space="preserve"> Specifikke dokumentationskrav til standardløsningen</t>
  </si>
  <si>
    <t>Kategorier</t>
  </si>
  <si>
    <t>Før 1960</t>
  </si>
  <si>
    <t>Fra 1961-1978</t>
  </si>
  <si>
    <t>Fra 1979</t>
  </si>
  <si>
    <t>Produktion</t>
  </si>
  <si>
    <t xml:space="preserve">Lager </t>
  </si>
  <si>
    <t>Hotel og restauranter</t>
  </si>
  <si>
    <t>Kontorer</t>
  </si>
  <si>
    <t>Butikker</t>
  </si>
  <si>
    <t>Beboelse</t>
  </si>
  <si>
    <t>Varmetal inklusivt varmt brugsvand</t>
  </si>
  <si>
    <t>Varmetal eksklusivt varmt brugsvand</t>
  </si>
  <si>
    <t>Boligareal</t>
  </si>
  <si>
    <t>m2</t>
  </si>
  <si>
    <t>Byggeår</t>
  </si>
  <si>
    <t>Årsinterval</t>
  </si>
  <si>
    <t>Nøgletal</t>
  </si>
  <si>
    <t>kWh/m2</t>
  </si>
  <si>
    <t>Gaskalorifer</t>
  </si>
  <si>
    <t>Oliekalorifer</t>
  </si>
  <si>
    <t>Gasstrålevarmer</t>
  </si>
  <si>
    <t>Virkningsgrad</t>
  </si>
  <si>
    <t>Gaskedel</t>
  </si>
  <si>
    <t>Oliekedel</t>
  </si>
  <si>
    <t>Fliskedel</t>
  </si>
  <si>
    <t>Træpillekedel</t>
  </si>
  <si>
    <t>Kulkedel</t>
  </si>
  <si>
    <t>Kokskedel</t>
  </si>
  <si>
    <t>HFO-kedel</t>
  </si>
  <si>
    <t>Halmkedel</t>
  </si>
  <si>
    <t>Liste over typer</t>
  </si>
  <si>
    <t>Energitype</t>
  </si>
  <si>
    <t>Gas-/dieselolie</t>
  </si>
  <si>
    <t>Skovflis</t>
  </si>
  <si>
    <t>Heavy fuel oil</t>
  </si>
  <si>
    <t>Erhvervsareal</t>
  </si>
  <si>
    <t>Forventet ny varmeforsyning</t>
  </si>
  <si>
    <t>Hvad anvendes bygningen til?</t>
  </si>
  <si>
    <t>Til generel beregner (kun beboelse)</t>
  </si>
  <si>
    <t>Varmebehov (netto)</t>
  </si>
  <si>
    <t>Elektricitet</t>
  </si>
  <si>
    <t>Kedel</t>
  </si>
  <si>
    <t>Brændselsforbrug efter</t>
  </si>
  <si>
    <t xml:space="preserve">Energitype i før-situationen </t>
  </si>
  <si>
    <t>1.</t>
  </si>
  <si>
    <t xml:space="preserve">2. </t>
  </si>
  <si>
    <t xml:space="preserve">Energibesparelse </t>
  </si>
  <si>
    <t xml:space="preserve">Brændelstype i før-situationen </t>
  </si>
  <si>
    <t>5.</t>
  </si>
  <si>
    <t>Årsvirkningsgrad[%]</t>
  </si>
  <si>
    <t xml:space="preserve">Ny varmeforsyning i efter-situationen </t>
  </si>
  <si>
    <t xml:space="preserve">Varmeforbrug - Grise </t>
  </si>
  <si>
    <t xml:space="preserve">Baggrundsberegning </t>
  </si>
  <si>
    <t>Bruger input</t>
  </si>
  <si>
    <t>Indlejrede forudsætninger</t>
  </si>
  <si>
    <t>Energistyrelsens forudsætninger</t>
  </si>
  <si>
    <t>Forudsætninger</t>
  </si>
  <si>
    <t>Afgrænsninger</t>
  </si>
  <si>
    <t>Svar muligheder</t>
  </si>
  <si>
    <t>Spørgsmål</t>
  </si>
  <si>
    <t xml:space="preserve">Antal hold </t>
  </si>
  <si>
    <t xml:space="preserve">Input </t>
  </si>
  <si>
    <t>1. Opgørelsesmetode af besætningsstørrelsen</t>
  </si>
  <si>
    <t>Årsrapport</t>
  </si>
  <si>
    <t>CHR</t>
  </si>
  <si>
    <t xml:space="preserve">1.1 Årsrapport </t>
  </si>
  <si>
    <t>Årssøer</t>
  </si>
  <si>
    <t>Slagtesvin</t>
  </si>
  <si>
    <t>Smågrise</t>
  </si>
  <si>
    <t>1.2 CHR</t>
  </si>
  <si>
    <t>Søer,gylte og orner</t>
  </si>
  <si>
    <t>Svin o. 30 kg</t>
  </si>
  <si>
    <t>Smågrise 7-30 kg</t>
  </si>
  <si>
    <t>Staldtype</t>
  </si>
  <si>
    <t>Varmeforbrug - kWh/gris</t>
  </si>
  <si>
    <t>Nøgletal pr gris - kWh</t>
  </si>
  <si>
    <t>Løbe/drægtighedsstalde</t>
  </si>
  <si>
    <t xml:space="preserve">3. Udtørres staldende med olievarmekanoner </t>
  </si>
  <si>
    <t>Farestalde - fuldspaltegulv</t>
  </si>
  <si>
    <t>Farestalde - delvist fast gulv</t>
  </si>
  <si>
    <t>3.1 Udskiftes olievarmekanonerne i energisparetiltaget</t>
  </si>
  <si>
    <t xml:space="preserve">Slagtesvinstald - delvist fast gulv </t>
  </si>
  <si>
    <t xml:space="preserve">Slagtesvinstald - spalter </t>
  </si>
  <si>
    <t>7. Varmeforsyning i efter-situationen</t>
  </si>
  <si>
    <t>Brændselskedel</t>
  </si>
  <si>
    <t>Smågrisestald - spalter</t>
  </si>
  <si>
    <t>Smågrisestald - delvist fast gulv</t>
  </si>
  <si>
    <t>Varmeforbrug til udtørring - kWh/gris</t>
  </si>
  <si>
    <t xml:space="preserve">Vil energispareprojektet implementeres i en eller flere konventionelle slagtekyllingestalde? </t>
  </si>
  <si>
    <t>Opgørelsesmetode af slagtekyllingebesætningen</t>
  </si>
  <si>
    <t>2.</t>
  </si>
  <si>
    <t>Specifikke dokumentationskrav til standardløsningen</t>
  </si>
  <si>
    <t>3.</t>
  </si>
  <si>
    <t>4.</t>
  </si>
  <si>
    <t xml:space="preserve">slagte </t>
  </si>
  <si>
    <t>øko</t>
  </si>
  <si>
    <t xml:space="preserve">2. Hvilken type kyllingeproduktion er der på besætningen </t>
  </si>
  <si>
    <t>Konventionel</t>
  </si>
  <si>
    <t>Økologisk</t>
  </si>
  <si>
    <t>Frilands</t>
  </si>
  <si>
    <t xml:space="preserve">3. Er der varmegenvinding i ventilationsanlægget </t>
  </si>
  <si>
    <t>Nøgletal pr kylling - kWh</t>
  </si>
  <si>
    <t>m veksler</t>
  </si>
  <si>
    <t>3.1 hvilken type veksler er der i ventilationsanlægget</t>
  </si>
  <si>
    <t>Væskekoblende batterier</t>
  </si>
  <si>
    <t>Heatpipes</t>
  </si>
  <si>
    <t>Krydsvarmeveksler</t>
  </si>
  <si>
    <t>Roterende veksler</t>
  </si>
  <si>
    <t>Modstrømveksler</t>
  </si>
  <si>
    <t>4. Omhandler energisparetiltaget udskiftning af brændselskedel</t>
  </si>
  <si>
    <t xml:space="preserve">5.Omhandler energisparetiltaget etablering af varmegenvinding </t>
  </si>
  <si>
    <t xml:space="preserve">Nej </t>
  </si>
  <si>
    <t>Varmeforbrug (beregnet)</t>
  </si>
  <si>
    <t>Angivelse af nuværende varmeforsyning</t>
  </si>
  <si>
    <t>2.1</t>
  </si>
  <si>
    <t>1.3</t>
  </si>
  <si>
    <t>Angivelse af bygning</t>
  </si>
  <si>
    <t>2.2</t>
  </si>
  <si>
    <t>2.3</t>
  </si>
  <si>
    <t>Træ og træaffald</t>
  </si>
  <si>
    <t>Træpiller og briketter</t>
  </si>
  <si>
    <t>Celle 1</t>
  </si>
  <si>
    <t>Celle 2</t>
  </si>
  <si>
    <t>Celle 3</t>
  </si>
  <si>
    <t>Årlige antal</t>
  </si>
  <si>
    <t>Varmeveksler</t>
  </si>
  <si>
    <t>Varmebehov m veksler</t>
  </si>
  <si>
    <t>Tjek tiltag 3</t>
  </si>
  <si>
    <t>Tjek tiltag 4</t>
  </si>
  <si>
    <t>ja</t>
  </si>
  <si>
    <t>Er der tale om en fuldudskiftning af den eksisterende brændselskedel?</t>
  </si>
  <si>
    <t>Udskiftes til en varmepumpe, fjernvarme eller en biokedel?</t>
  </si>
  <si>
    <r>
      <rPr>
        <b/>
        <sz val="9"/>
        <color theme="1"/>
        <rFont val="Calibri"/>
        <family val="2"/>
        <scheme val="minor"/>
      </rPr>
      <t xml:space="preserve">3. </t>
    </r>
    <r>
      <rPr>
        <sz val="9"/>
        <color theme="1"/>
        <rFont val="Calibri"/>
        <family val="2"/>
        <scheme val="minor"/>
      </rPr>
      <t xml:space="preserve">Vedlæg den udfyldte standardløsning i ansøgningsskemaet </t>
    </r>
  </si>
  <si>
    <t>Kedler</t>
  </si>
  <si>
    <t>Kalorifere</t>
  </si>
  <si>
    <t>Kalorifer</t>
  </si>
  <si>
    <r>
      <t xml:space="preserve">Er brændselskedlen under 1000 kW og  en varmtvandkedel eller en dampkedel? </t>
    </r>
    <r>
      <rPr>
        <strike/>
        <sz val="9"/>
        <rFont val="Verdana"/>
        <family val="2"/>
      </rPr>
      <t>?</t>
    </r>
  </si>
  <si>
    <t>nej</t>
  </si>
  <si>
    <t>Levetidskategori</t>
  </si>
  <si>
    <t>1.3. Udskiftning af forsynings- service- og procesanlæg</t>
  </si>
  <si>
    <t>Førsituation</t>
  </si>
  <si>
    <t xml:space="preserve">Naturgas/LPG med effekt til og med 1000 kW </t>
  </si>
  <si>
    <t>Naturgas/LPG med effekt over 1000 kW</t>
  </si>
  <si>
    <t>Træpille, flis, træ og træaffald til og med 1000 kW</t>
  </si>
  <si>
    <t>Træpille, flis, træ og træaffald over 1000 kW</t>
  </si>
  <si>
    <t xml:space="preserve">Halm </t>
  </si>
  <si>
    <t>Eftersituation</t>
  </si>
  <si>
    <t>Naturgas/LPG</t>
  </si>
  <si>
    <t>Gas/dieselolie</t>
  </si>
  <si>
    <t>Træpiller/træbriketter</t>
  </si>
  <si>
    <t xml:space="preserve"> </t>
  </si>
  <si>
    <t>Varmeforbrug beregnet før</t>
  </si>
  <si>
    <t>Varmeforbrug beregnet efter</t>
  </si>
  <si>
    <t>Energiforbrug før</t>
  </si>
  <si>
    <t>Energiforbrug efter</t>
  </si>
  <si>
    <t xml:space="preserve">  </t>
  </si>
  <si>
    <t>Størrelse</t>
  </si>
  <si>
    <t>Årsvirkningsgrad</t>
  </si>
  <si>
    <t>0-1000</t>
  </si>
  <si>
    <t>1001-1999</t>
  </si>
  <si>
    <t>Ny førsituation</t>
  </si>
  <si>
    <t>LPG</t>
  </si>
  <si>
    <t>Beregning af brændselskedlens årsvirkningsgraden ved udskiftningstidspunktet. Hvis brændselstypen er olie eller halm, vælg "olie" eller "halm" i tabellen.</t>
  </si>
  <si>
    <t>Virkningsgrad for valgt kedeltype</t>
  </si>
  <si>
    <t>4.1</t>
  </si>
  <si>
    <t>Beregning af det årlige varmeforbrug til opvarmning i kyllingestalde</t>
  </si>
  <si>
    <t>Årligt antal</t>
  </si>
  <si>
    <t>5.1</t>
  </si>
  <si>
    <t>Størrelse/varmeydelse på eksisterende varmekilde [kW]</t>
  </si>
  <si>
    <t>Opgørelse af årlige antal slagtekyllinger</t>
  </si>
  <si>
    <t>Årligt varmebehov [kWh]</t>
  </si>
  <si>
    <t>Antal kyllinger</t>
  </si>
  <si>
    <t>Varmekilde i før-situationen</t>
  </si>
  <si>
    <t>Nuværende brændselstype</t>
  </si>
  <si>
    <t>Varmeydelse på nuværende varmekilde [kW]</t>
  </si>
  <si>
    <t>Kedelydelse</t>
  </si>
  <si>
    <t>Brændselstype</t>
  </si>
  <si>
    <t>Udskiftes den eksisterende varmekilde til en varmepumpe, fjernvarme eller en biokedel?</t>
  </si>
  <si>
    <t>Varmebehov m. veksler [kWh]</t>
  </si>
  <si>
    <t>MWh</t>
  </si>
  <si>
    <t>Varmekilde i efter-situationen</t>
  </si>
  <si>
    <t>3.2</t>
  </si>
  <si>
    <t>Ny varmekilde</t>
  </si>
  <si>
    <t>Varmeydelse på ny varmekilde [kW]</t>
  </si>
  <si>
    <t>Indfyret effekt [kWh] før</t>
  </si>
  <si>
    <t>Energibesparelse</t>
  </si>
  <si>
    <t>Indfyret effekt efter [kW]</t>
  </si>
  <si>
    <t>Type af grise</t>
  </si>
  <si>
    <t>Antal</t>
  </si>
  <si>
    <t>Aktive faktorer</t>
  </si>
  <si>
    <t>Type grise</t>
  </si>
  <si>
    <t>Varmebehov [kWh]</t>
  </si>
  <si>
    <t>Aktive hold</t>
  </si>
  <si>
    <t>Type</t>
  </si>
  <si>
    <t>Udtørres staldene med olievarmekanoner</t>
  </si>
  <si>
    <t>Nøgletal varme</t>
  </si>
  <si>
    <t>Nøgletal udtørring</t>
  </si>
  <si>
    <t>Varmebehov udtørring [kWh]</t>
  </si>
  <si>
    <t>Udskiftes olievarmekanonerne?</t>
  </si>
  <si>
    <t>Til tørring</t>
  </si>
  <si>
    <t>Samlet tørring med primær varmekilde</t>
  </si>
  <si>
    <t>Samlet med separat tørring</t>
  </si>
  <si>
    <t>Resultat uden tørring</t>
  </si>
  <si>
    <t>Beregning af det årlige varmeforbrug til opvarmning i grisestalde</t>
  </si>
  <si>
    <t>Træpiller, flis, træ og træaffald til og med 1000 kW</t>
  </si>
  <si>
    <t>Træpiller, flis, træ og træaffald over 1000 kW</t>
  </si>
  <si>
    <t>Effekt/varmeydelse på den nye varmekilde [kW]</t>
  </si>
  <si>
    <t>Leverer varmekilden også varmt brugsvand?</t>
  </si>
  <si>
    <t>Standardløsningskatalog for udskiftning af varmeforsyning uden faktura</t>
  </si>
  <si>
    <t xml:space="preserve">Tiltag 2 Udskiftning af varmeforsyning - opvarmning og udtørring af konventionelle svinestalde </t>
  </si>
  <si>
    <t xml:space="preserve">Tiltag 3 Udskiftning af varmeforsyning - opvarmning af konventionelle slagtekyllingestalde </t>
  </si>
  <si>
    <t xml:space="preserve">Tiltag 1 Udskiftning af varmeforsyning - rumopvarmning og brugsvand </t>
  </si>
  <si>
    <t xml:space="preserve">Anvendes den pågældende varmekilde udelukkende til rumopvarmning og opvarmning af brugsvand? </t>
  </si>
  <si>
    <t>Kedlens/kaloriferens/ strålevarmere effekt/varmeydelse [kW]</t>
  </si>
  <si>
    <t>1.4</t>
  </si>
  <si>
    <t>1.5</t>
  </si>
  <si>
    <t>Opgørelsesmetode af svinebesætningen</t>
  </si>
  <si>
    <t>Udskiftes der til en varmepumpe, fjernvarme, elkedel eller biomassekedel?</t>
  </si>
  <si>
    <t>Har du en faktura for indkøbt naturgas, olie, flis eller træpiller, som begrænser sig til før-forbruget?</t>
  </si>
  <si>
    <t>Har du en faktura for indkøbt naturgas, olie, flis eller træpiller, som  begrænser sig til før-forbruget?</t>
  </si>
  <si>
    <t>Vers. 6  15.07.2025</t>
  </si>
  <si>
    <t xml:space="preserve">Standardløsningen finder anvendelse på projekter, der udskifter varmeforsyning, som benyttes til opvarmning af bygninger og brugsvand. Bemærk, at du ikke kan benyttet standardløsningen, hvis du udnytter overskudsvarme fra f.eks. ventilationsanlæg eller trykluftsanlæg. Energiforbruget beregnes ud fra oplysninger om bygningen, anvendelsesområde og varmeforsyningen.  </t>
  </si>
  <si>
    <t xml:space="preserve">Standardløsningen finder anvendelse på projekter, der indebærer udskiftning af varmeforsyning til opvarmning og udtørring i konventionelle svinestalde.  Pressesedler for halm anses ikke som dokumentation for energiforbruget. Energiforbruget beregnes ud fra oplysninger om besætningen og varmeforsyningen. </t>
  </si>
  <si>
    <t xml:space="preserve">Standardløsningen finder anvendelse på projekter, der indebærer udskiftning af varmeforsyning til opvarmning i konventionelle slagtekyllingestalde. Pressesedler for halm anses ikke som dokumentation for energiforbruget. Energiforbruget beregnes ud fra oplysninger om besætningen og varmeforsyningen.  </t>
  </si>
  <si>
    <r>
      <rPr>
        <b/>
        <sz val="9"/>
        <color theme="1"/>
        <rFont val="Calibri"/>
        <family val="2"/>
        <scheme val="minor"/>
      </rPr>
      <t>1.</t>
    </r>
    <r>
      <rPr>
        <sz val="9"/>
        <color theme="1"/>
        <rFont val="Calibri"/>
        <family val="2"/>
        <scheme val="minor"/>
      </rPr>
      <t xml:space="preserve"> Læs om de aktuelle tiltag på fanen "Beskrivelse"</t>
    </r>
  </si>
  <si>
    <t>Har du en faktura for indkøbt naturgas, olie, flis eller træpiller, som begrænser sig til før-forbruget for projektet?</t>
  </si>
  <si>
    <t xml:space="preserve">Vil projektet implementeres i en konventionelle svinestalde eller flere konventionelle svinestalde på samme adresse? </t>
  </si>
  <si>
    <t xml:space="preserve">Vil projektet implementeres i en konventionelle slagtekyllingestalde eller flere konventionelle slagtekyllingestalde på samme adresse? </t>
  </si>
  <si>
    <r>
      <t xml:space="preserve">Standardløsningen finder kun anvendelse, hvor energiforbruget i før-situationen ikke kan dokumenteres ved fakturaer af følgende årsager:
• Det fakturerede forbrug begrænser sig ikke med sikkerhed til før-forbruget
• Du anvender egen produceret brændsel
Du behøver ikke at anvende standardløsningen såfremt at du kan dokumentere et repræsentativt og retvisende forbrug ved brug af ISO 14001 eller ISO 50001.  I alle andre situationer , hvor du ønsker at udskifte varmeforsyning, skal du dokumentere dit før-forbrug med faktura og benytte beregnerne på ansøgningsportalen. 
Standardløsningen kan </t>
    </r>
    <r>
      <rPr>
        <i/>
        <u/>
        <sz val="11"/>
        <rFont val="Calibri"/>
        <family val="2"/>
        <scheme val="minor"/>
      </rPr>
      <t>ikke</t>
    </r>
    <r>
      <rPr>
        <i/>
        <sz val="11"/>
        <rFont val="Calibri"/>
        <family val="2"/>
        <scheme val="minor"/>
      </rPr>
      <t xml:space="preserve"> anvendes hvis fakturaer mangler pga. nyerhvervelse af ejendom/virksomhed.
Standardløsningerne benyttes til at beregne energiforbruget i før- og eftersituationen. Energiforbruget indtastes efterfølgende i ansøgningsskemaet fane 6, og standardløsningen vedhæftes ansøgningen som bilag.                                                                                                                                                                         </t>
    </r>
  </si>
  <si>
    <r>
      <t>H</t>
    </r>
    <r>
      <rPr>
        <sz val="11"/>
        <color theme="1"/>
        <rFont val="Calibri"/>
        <family val="2"/>
        <scheme val="minor"/>
      </rPr>
      <t>vornår er bygningen opført/om- eller tilbygget</t>
    </r>
    <r>
      <rPr>
        <sz val="11"/>
        <rFont val="Calibri"/>
        <family val="2"/>
        <scheme val="minor"/>
      </rPr>
      <t xml:space="preserve"> [årstal] jf. BBR?</t>
    </r>
  </si>
  <si>
    <r>
      <t>Bygningens erhvervsareal [m</t>
    </r>
    <r>
      <rPr>
        <vertAlign val="superscript"/>
        <sz val="11"/>
        <color theme="1"/>
        <rFont val="Calibri"/>
        <family val="2"/>
        <scheme val="minor"/>
      </rPr>
      <t>2</t>
    </r>
    <r>
      <rPr>
        <sz val="11"/>
        <color theme="1"/>
        <rFont val="Calibri"/>
        <family val="2"/>
        <scheme val="minor"/>
      </rPr>
      <t>] jf. BBR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</si>
</sst>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 _k_r_._-;\-* #,##0.00\ _k_r_._-;_-* &quot;-&quot;??\ _k_r_._-;_-@_-"/>
    <numFmt numFmtId="164" formatCode="_-* #,##0.00_-;\-* #,##0.00_-;_-* &quot;-&quot;??_-;_-@_-"/>
    <numFmt numFmtId="165" formatCode="_-* #,##0_-;\-* #,##0_-;_-* &quot;-&quot;??_-;_-@_-"/>
    <numFmt numFmtId="166" formatCode="0.0"/>
    <numFmt numFmtId="167" formatCode="#,##0_ ;\-#,##0\ "/>
    <numFmt numFmtId="168" formatCode="#,##0.0"/>
    <numFmt numFmtId="169" formatCode="0.0000%"/>
  </numFmts>
  <fonts count="75" x14ac:knownFonts="1">
    <font>
      <sz val="11"/>
      <color theme="1"/>
      <name val="Calibri"/>
      <family val="2"/>
      <scheme val="minor"/>
    </font>
    <font>
      <sz val="8.5"/>
      <color theme="1"/>
      <name val="Verdana"/>
      <family val="2"/>
    </font>
    <font>
      <sz val="11"/>
      <color theme="1"/>
      <name val="Calibri"/>
      <family val="2"/>
      <scheme val="minor"/>
    </font>
    <font>
      <sz val="9"/>
      <color theme="1"/>
      <name val="Calibri"/>
      <family val="2"/>
      <scheme val="minor"/>
    </font>
    <font>
      <sz val="9"/>
      <color rgb="FF009999"/>
      <name val="Verdana"/>
      <family val="2"/>
    </font>
    <font>
      <u/>
      <sz val="11"/>
      <color theme="10"/>
      <name val="Calibri"/>
      <family val="2"/>
      <scheme val="minor"/>
    </font>
    <font>
      <sz val="11"/>
      <color rgb="FF009999"/>
      <name val="Calibri"/>
      <family val="2"/>
      <scheme val="minor"/>
    </font>
    <font>
      <sz val="9"/>
      <color theme="1"/>
      <name val="Verdana"/>
      <family val="2"/>
    </font>
    <font>
      <sz val="9"/>
      <color theme="0" tint="-0.499984740745262"/>
      <name val="Calibri"/>
      <family val="2"/>
      <scheme val="minor"/>
    </font>
    <font>
      <sz val="9"/>
      <color theme="0" tint="-0.499984740745262"/>
      <name val="Verdana"/>
      <family val="2"/>
    </font>
    <font>
      <sz val="14"/>
      <color theme="4" tint="-0.249977111117893"/>
      <name val="Verdana"/>
      <family val="2"/>
    </font>
    <font>
      <sz val="14"/>
      <color theme="9" tint="-0.499984740745262"/>
      <name val="Verdana"/>
      <family val="2"/>
    </font>
    <font>
      <sz val="9"/>
      <name val="Calibri"/>
      <family val="2"/>
      <scheme val="minor"/>
    </font>
    <font>
      <sz val="9"/>
      <color theme="9" tint="0.59999389629810485"/>
      <name val="Verdana"/>
      <family val="2"/>
    </font>
    <font>
      <sz val="9"/>
      <name val="Verdana"/>
      <family val="2"/>
    </font>
    <font>
      <b/>
      <sz val="12"/>
      <color theme="9" tint="-0.499984740745262"/>
      <name val="Verdana"/>
      <family val="2"/>
    </font>
    <font>
      <sz val="18"/>
      <color theme="9" tint="0.79998168889431442"/>
      <name val="Verdana"/>
      <family val="2"/>
    </font>
    <font>
      <sz val="11"/>
      <color theme="4" tint="-0.249977111117893"/>
      <name val="Verdana"/>
      <family val="2"/>
    </font>
    <font>
      <b/>
      <sz val="9"/>
      <color theme="1"/>
      <name val="Verdana"/>
      <family val="2"/>
    </font>
    <font>
      <i/>
      <sz val="9"/>
      <color rgb="FFFF0000"/>
      <name val="Verdana"/>
      <family val="2"/>
    </font>
    <font>
      <sz val="10"/>
      <color theme="1"/>
      <name val="Verdana"/>
      <family val="2"/>
    </font>
    <font>
      <sz val="10"/>
      <name val="Verdana"/>
      <family val="2"/>
    </font>
    <font>
      <b/>
      <sz val="8.5"/>
      <color theme="1"/>
      <name val="Verdana"/>
      <family val="2"/>
    </font>
    <font>
      <sz val="9"/>
      <color rgb="FF212529"/>
      <name val="Calibri"/>
      <family val="2"/>
    </font>
    <font>
      <sz val="9"/>
      <color rgb="FF000000"/>
      <name val="Calibri"/>
      <family val="2"/>
    </font>
    <font>
      <sz val="9"/>
      <color theme="9" tint="0.79998168889431442"/>
      <name val="Verdana"/>
      <family val="2"/>
    </font>
    <font>
      <sz val="9"/>
      <color theme="0"/>
      <name val="Verdana"/>
      <family val="2"/>
    </font>
    <font>
      <u/>
      <sz val="20"/>
      <color theme="10"/>
      <name val="Calibri"/>
      <family val="2"/>
      <scheme val="minor"/>
    </font>
    <font>
      <sz val="11"/>
      <color theme="1" tint="0.499984740745262"/>
      <name val="Calibri"/>
      <family val="2"/>
      <scheme val="minor"/>
    </font>
    <font>
      <sz val="11"/>
      <color theme="0"/>
      <name val="Calibri"/>
      <family val="2"/>
      <scheme val="minor"/>
    </font>
    <font>
      <sz val="10"/>
      <color theme="1"/>
      <name val="Calibri"/>
      <family val="2"/>
      <scheme val="minor"/>
    </font>
    <font>
      <b/>
      <sz val="9"/>
      <color theme="1"/>
      <name val="Calibri"/>
      <family val="2"/>
      <scheme val="minor"/>
    </font>
    <font>
      <i/>
      <sz val="10"/>
      <color theme="4" tint="-0.249977111117893"/>
      <name val="Verdana"/>
      <family val="2"/>
    </font>
    <font>
      <i/>
      <sz val="10"/>
      <color theme="4" tint="-0.249977111117893"/>
      <name val="Calibri"/>
      <family val="2"/>
      <scheme val="minor"/>
    </font>
    <font>
      <i/>
      <sz val="10"/>
      <color theme="1"/>
      <name val="Verdana"/>
      <family val="2"/>
    </font>
    <font>
      <i/>
      <sz val="10"/>
      <color theme="1"/>
      <name val="Calibri"/>
      <family val="2"/>
      <scheme val="minor"/>
    </font>
    <font>
      <i/>
      <sz val="11"/>
      <name val="Calibri"/>
      <family val="2"/>
      <scheme val="minor"/>
    </font>
    <font>
      <sz val="9"/>
      <color theme="4" tint="-0.249977111117893"/>
      <name val="Verdana"/>
      <family val="2"/>
    </font>
    <font>
      <sz val="14"/>
      <color rgb="FF009999"/>
      <name val="Calibri"/>
      <family val="2"/>
      <scheme val="minor"/>
    </font>
    <font>
      <sz val="11"/>
      <color theme="1"/>
      <name val="Verdana"/>
      <family val="2"/>
    </font>
    <font>
      <u/>
      <sz val="14"/>
      <color theme="10"/>
      <name val="Calibri"/>
      <family val="2"/>
      <scheme val="minor"/>
    </font>
    <font>
      <sz val="12"/>
      <color theme="4" tint="-0.249977111117893"/>
      <name val="Verdana"/>
      <family val="2"/>
    </font>
    <font>
      <b/>
      <sz val="10"/>
      <color rgb="FF212529"/>
      <name val="Calibri"/>
      <family val="2"/>
    </font>
    <font>
      <b/>
      <sz val="10"/>
      <color theme="9" tint="-0.499984740745262"/>
      <name val="Verdana"/>
      <family val="2"/>
    </font>
    <font>
      <sz val="9"/>
      <color rgb="FFFF0000"/>
      <name val="Verdana"/>
      <family val="2"/>
    </font>
    <font>
      <b/>
      <sz val="9"/>
      <name val="Verdana"/>
      <family val="2"/>
    </font>
    <font>
      <b/>
      <u/>
      <sz val="14"/>
      <color theme="1"/>
      <name val="Calibri"/>
      <family val="2"/>
      <scheme val="minor"/>
    </font>
    <font>
      <b/>
      <u/>
      <sz val="12"/>
      <color theme="1"/>
      <name val="Calibri"/>
      <family val="2"/>
      <scheme val="minor"/>
    </font>
    <font>
      <u/>
      <sz val="11"/>
      <color theme="1"/>
      <name val="Calibri"/>
      <family val="2"/>
      <scheme val="minor"/>
    </font>
    <font>
      <b/>
      <u/>
      <sz val="11"/>
      <color theme="1"/>
      <name val="Calibri"/>
      <family val="2"/>
      <scheme val="minor"/>
    </font>
    <font>
      <b/>
      <i/>
      <u/>
      <sz val="11"/>
      <color theme="1"/>
      <name val="Calibri"/>
      <family val="2"/>
      <scheme val="minor"/>
    </font>
    <font>
      <i/>
      <sz val="11"/>
      <color theme="1"/>
      <name val="Calibri"/>
      <family val="2"/>
      <scheme val="minor"/>
    </font>
    <font>
      <sz val="12"/>
      <color theme="8"/>
      <name val="Verdana"/>
      <family val="2"/>
    </font>
    <font>
      <sz val="24"/>
      <color theme="9" tint="0.59999389629810485"/>
      <name val="Verdana"/>
      <family val="2"/>
    </font>
    <font>
      <sz val="10"/>
      <color theme="9" tint="0.59999389629810485"/>
      <name val="Verdana"/>
      <family val="2"/>
    </font>
    <font>
      <sz val="11"/>
      <color theme="9" tint="0.59999389629810485"/>
      <name val="Calibri"/>
      <family val="2"/>
      <scheme val="minor"/>
    </font>
    <font>
      <sz val="14"/>
      <color theme="9" tint="0.59999389629810485"/>
      <name val="Verdana"/>
      <family val="2"/>
    </font>
    <font>
      <u/>
      <sz val="11"/>
      <color theme="0"/>
      <name val="Calibri"/>
      <family val="2"/>
      <scheme val="minor"/>
    </font>
    <font>
      <strike/>
      <sz val="9"/>
      <name val="Verdana"/>
      <family val="2"/>
    </font>
    <font>
      <sz val="11"/>
      <color theme="1"/>
      <name val="Times New Roman"/>
      <family val="1"/>
    </font>
    <font>
      <sz val="11"/>
      <color rgb="FF000000"/>
      <name val="Calibri"/>
      <family val="2"/>
      <scheme val="minor"/>
    </font>
    <font>
      <b/>
      <sz val="11"/>
      <color theme="9" tint="0.59999389629810485"/>
      <name val="Calibri"/>
      <family val="2"/>
      <scheme val="minor"/>
    </font>
    <font>
      <sz val="11"/>
      <name val="Calibri"/>
      <family val="2"/>
      <scheme val="minor"/>
    </font>
    <font>
      <sz val="14"/>
      <color theme="8"/>
      <name val="Verdana"/>
      <family val="2"/>
    </font>
    <font>
      <b/>
      <sz val="11"/>
      <color theme="1"/>
      <name val="Calibri"/>
      <family val="2"/>
      <scheme val="minor"/>
    </font>
    <font>
      <sz val="16"/>
      <color theme="8"/>
      <name val="Calibri"/>
      <family val="2"/>
      <scheme val="minor"/>
    </font>
    <font>
      <sz val="24"/>
      <color theme="9" tint="0.79998168889431442"/>
      <name val="Verdana"/>
      <family val="2"/>
    </font>
    <font>
      <sz val="9"/>
      <color theme="0" tint="-0.14999847407452621"/>
      <name val="Verdana"/>
      <family val="2"/>
    </font>
    <font>
      <sz val="11"/>
      <color theme="0" tint="-0.14999847407452621"/>
      <name val="Calibri"/>
      <family val="2"/>
      <scheme val="minor"/>
    </font>
    <font>
      <u/>
      <sz val="14"/>
      <color theme="4" tint="-0.249977111117893"/>
      <name val="Calibri"/>
      <family val="2"/>
      <scheme val="minor"/>
    </font>
    <font>
      <i/>
      <u/>
      <sz val="11"/>
      <name val="Calibri"/>
      <family val="2"/>
      <scheme val="minor"/>
    </font>
    <font>
      <sz val="11"/>
      <color rgb="FFFF0000"/>
      <name val="Calibri"/>
      <family val="2"/>
      <scheme val="minor"/>
    </font>
    <font>
      <b/>
      <sz val="11"/>
      <name val="Calibri"/>
      <family val="2"/>
      <scheme val="minor"/>
    </font>
    <font>
      <sz val="11"/>
      <color theme="4" tint="-0.249977111117893"/>
      <name val="Calibri"/>
      <family val="2"/>
      <scheme val="minor"/>
    </font>
    <font>
      <vertAlign val="superscript"/>
      <sz val="11"/>
      <color theme="1"/>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rgb="FFDDEBF7"/>
        <bgColor indexed="64"/>
      </patternFill>
    </fill>
    <fill>
      <patternFill patternType="solid">
        <fgColor theme="0" tint="-0.14999847407452621"/>
        <bgColor indexed="64"/>
      </patternFill>
    </fill>
    <fill>
      <patternFill patternType="solid">
        <fgColor rgb="FFBDD7EE"/>
        <bgColor indexed="64"/>
      </patternFill>
    </fill>
    <fill>
      <patternFill patternType="solid">
        <fgColor theme="0" tint="-0.249977111117893"/>
        <bgColor indexed="64"/>
      </patternFill>
    </fill>
    <fill>
      <patternFill patternType="solid">
        <fgColor theme="9"/>
        <bgColor indexed="64"/>
      </patternFill>
    </fill>
    <fill>
      <patternFill patternType="solid">
        <fgColor theme="0"/>
        <bgColor indexed="64"/>
      </patternFill>
    </fill>
    <fill>
      <patternFill patternType="solid">
        <fgColor theme="0" tint="-0.14996795556505021"/>
        <bgColor indexed="64"/>
      </patternFill>
    </fill>
    <fill>
      <patternFill patternType="solid">
        <fgColor theme="6"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2" tint="-9.9978637043366805E-2"/>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s>
  <cellStyleXfs count="5">
    <xf numFmtId="0" fontId="0" fillId="0" borderId="0"/>
    <xf numFmtId="9" fontId="2" fillId="0" borderId="0" applyFont="0" applyFill="0" applyBorder="0" applyAlignment="0" applyProtection="0"/>
    <xf numFmtId="164" fontId="2" fillId="0" borderId="0" applyFont="0" applyFill="0" applyBorder="0" applyAlignment="0" applyProtection="0"/>
    <xf numFmtId="0" fontId="3" fillId="0" borderId="0"/>
    <xf numFmtId="0" fontId="5" fillId="0" borderId="0" applyNumberFormat="0" applyFill="0" applyBorder="0" applyAlignment="0" applyProtection="0"/>
  </cellStyleXfs>
  <cellXfs count="500">
    <xf numFmtId="0" fontId="0" fillId="0" borderId="0" xfId="0"/>
    <xf numFmtId="164" fontId="1" fillId="0" borderId="0" xfId="2" applyFont="1" applyAlignment="1" applyProtection="1">
      <alignment horizontal="left" vertical="center" indent="1"/>
      <protection hidden="1"/>
    </xf>
    <xf numFmtId="164" fontId="7" fillId="0" borderId="0" xfId="2" applyFont="1" applyBorder="1"/>
    <xf numFmtId="164" fontId="7" fillId="0" borderId="4" xfId="2" applyFont="1" applyBorder="1"/>
    <xf numFmtId="164" fontId="7" fillId="0" borderId="12" xfId="2" applyFont="1" applyBorder="1"/>
    <xf numFmtId="164" fontId="7" fillId="0" borderId="14" xfId="2" applyFont="1" applyBorder="1"/>
    <xf numFmtId="0" fontId="0" fillId="0" borderId="0" xfId="0" applyBorder="1"/>
    <xf numFmtId="0" fontId="0" fillId="0" borderId="21" xfId="0" applyBorder="1"/>
    <xf numFmtId="0" fontId="0" fillId="0" borderId="22" xfId="0" applyBorder="1"/>
    <xf numFmtId="0" fontId="0" fillId="0" borderId="16" xfId="0" applyBorder="1"/>
    <xf numFmtId="0" fontId="0" fillId="0" borderId="23" xfId="0" applyBorder="1"/>
    <xf numFmtId="0" fontId="0" fillId="0" borderId="20" xfId="0" applyBorder="1"/>
    <xf numFmtId="0" fontId="0" fillId="0" borderId="24" xfId="0" applyBorder="1"/>
    <xf numFmtId="0" fontId="0" fillId="0" borderId="18" xfId="0" applyBorder="1"/>
    <xf numFmtId="0" fontId="0" fillId="0" borderId="19" xfId="0" applyBorder="1"/>
    <xf numFmtId="1" fontId="0" fillId="0" borderId="0" xfId="0" applyNumberFormat="1"/>
    <xf numFmtId="2" fontId="0" fillId="0" borderId="0" xfId="0" applyNumberFormat="1"/>
    <xf numFmtId="43" fontId="0" fillId="0" borderId="0" xfId="0" applyNumberFormat="1"/>
    <xf numFmtId="0" fontId="6" fillId="2" borderId="0" xfId="4" applyFont="1" applyFill="1" applyBorder="1" applyAlignment="1" applyProtection="1">
      <alignment vertical="center"/>
      <protection hidden="1"/>
    </xf>
    <xf numFmtId="0" fontId="8" fillId="2" borderId="0" xfId="0" applyFont="1" applyFill="1" applyAlignment="1" applyProtection="1">
      <alignment horizontal="right"/>
      <protection hidden="1"/>
    </xf>
    <xf numFmtId="0" fontId="7" fillId="2" borderId="0" xfId="3" applyFont="1" applyFill="1" applyProtection="1">
      <protection hidden="1"/>
    </xf>
    <xf numFmtId="0" fontId="8" fillId="2" borderId="0" xfId="0" applyFont="1" applyFill="1" applyAlignment="1" applyProtection="1">
      <alignment vertical="top" wrapText="1"/>
      <protection hidden="1"/>
    </xf>
    <xf numFmtId="0" fontId="10" fillId="2" borderId="0" xfId="3" applyFont="1" applyFill="1" applyAlignment="1" applyProtection="1">
      <alignment vertical="center" wrapText="1"/>
      <protection hidden="1"/>
    </xf>
    <xf numFmtId="0" fontId="10" fillId="2" borderId="0" xfId="3" applyFont="1" applyFill="1" applyAlignment="1" applyProtection="1">
      <alignment vertical="center"/>
      <protection hidden="1"/>
    </xf>
    <xf numFmtId="0" fontId="8" fillId="2" borderId="0" xfId="0" applyFont="1" applyFill="1" applyAlignment="1" applyProtection="1">
      <alignment horizontal="left" vertical="top"/>
      <protection hidden="1"/>
    </xf>
    <xf numFmtId="0" fontId="12" fillId="2" borderId="0" xfId="0" applyFont="1" applyFill="1" applyAlignment="1" applyProtection="1">
      <alignment horizontal="right"/>
      <protection hidden="1"/>
    </xf>
    <xf numFmtId="0" fontId="7" fillId="2" borderId="0" xfId="3" applyFont="1" applyFill="1" applyBorder="1" applyAlignment="1" applyProtection="1">
      <alignment vertical="center"/>
      <protection hidden="1"/>
    </xf>
    <xf numFmtId="0" fontId="7" fillId="2" borderId="0" xfId="3" applyFont="1" applyFill="1" applyBorder="1" applyProtection="1">
      <protection hidden="1"/>
    </xf>
    <xf numFmtId="0" fontId="31" fillId="2" borderId="0" xfId="0" applyFont="1" applyFill="1" applyProtection="1">
      <protection hidden="1"/>
    </xf>
    <xf numFmtId="0" fontId="3" fillId="2" borderId="0" xfId="0" applyFont="1" applyFill="1" applyProtection="1">
      <protection hidden="1"/>
    </xf>
    <xf numFmtId="0" fontId="31" fillId="2" borderId="0" xfId="0" applyFont="1" applyFill="1" applyAlignment="1" applyProtection="1">
      <protection hidden="1"/>
    </xf>
    <xf numFmtId="0" fontId="3" fillId="2" borderId="0" xfId="0" applyFont="1" applyFill="1" applyAlignment="1" applyProtection="1">
      <alignment horizontal="center" vertical="top" wrapText="1"/>
      <protection hidden="1"/>
    </xf>
    <xf numFmtId="0" fontId="4" fillId="2" borderId="0" xfId="3" applyFont="1" applyFill="1" applyProtection="1">
      <protection hidden="1"/>
    </xf>
    <xf numFmtId="0" fontId="6" fillId="2" borderId="0" xfId="4" applyFont="1" applyFill="1" applyAlignment="1" applyProtection="1">
      <alignment vertical="center"/>
      <protection hidden="1"/>
    </xf>
    <xf numFmtId="0" fontId="9" fillId="2" borderId="0" xfId="3" applyFont="1" applyFill="1" applyProtection="1">
      <protection hidden="1"/>
    </xf>
    <xf numFmtId="0" fontId="8" fillId="2" borderId="0" xfId="0" applyFont="1" applyFill="1" applyAlignment="1" applyProtection="1">
      <alignment horizontal="center" vertical="top"/>
      <protection hidden="1"/>
    </xf>
    <xf numFmtId="0" fontId="10" fillId="2" borderId="0" xfId="3" applyFont="1" applyFill="1" applyProtection="1">
      <protection hidden="1"/>
    </xf>
    <xf numFmtId="0" fontId="10" fillId="2" borderId="0" xfId="3" applyFont="1" applyFill="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7" fillId="4" borderId="0" xfId="3" applyFont="1" applyFill="1" applyProtection="1">
      <protection hidden="1"/>
    </xf>
    <xf numFmtId="0" fontId="32" fillId="2" borderId="0" xfId="3" applyFont="1" applyFill="1" applyProtection="1">
      <protection hidden="1"/>
    </xf>
    <xf numFmtId="0" fontId="33" fillId="2" borderId="0" xfId="4" applyFont="1" applyFill="1" applyProtection="1">
      <protection hidden="1"/>
    </xf>
    <xf numFmtId="0" fontId="34" fillId="2" borderId="0" xfId="3" applyFont="1" applyFill="1" applyProtection="1">
      <protection hidden="1"/>
    </xf>
    <xf numFmtId="0" fontId="35" fillId="2" borderId="0" xfId="0" applyFont="1" applyFill="1" applyAlignment="1" applyProtection="1">
      <alignment horizontal="right"/>
      <protection hidden="1"/>
    </xf>
    <xf numFmtId="0" fontId="37" fillId="2" borderId="0" xfId="3" applyFont="1" applyFill="1" applyProtection="1">
      <protection hidden="1"/>
    </xf>
    <xf numFmtId="0" fontId="29" fillId="4" borderId="0" xfId="4" applyFont="1" applyFill="1" applyAlignment="1" applyProtection="1">
      <alignment horizontal="center"/>
      <protection hidden="1"/>
    </xf>
    <xf numFmtId="0" fontId="38" fillId="2" borderId="0" xfId="4" applyFont="1" applyFill="1" applyProtection="1">
      <protection hidden="1"/>
    </xf>
    <xf numFmtId="164" fontId="0" fillId="0" borderId="0" xfId="2" applyFont="1" applyBorder="1"/>
    <xf numFmtId="164" fontId="7" fillId="0" borderId="13" xfId="2" applyFont="1" applyBorder="1"/>
    <xf numFmtId="0" fontId="29" fillId="2" borderId="0" xfId="4" applyFont="1" applyFill="1" applyAlignment="1" applyProtection="1">
      <alignment horizontal="center"/>
      <protection hidden="1"/>
    </xf>
    <xf numFmtId="0" fontId="7" fillId="7" borderId="0" xfId="3" applyFont="1" applyFill="1" applyProtection="1">
      <protection hidden="1"/>
    </xf>
    <xf numFmtId="164" fontId="7" fillId="0" borderId="0" xfId="2" applyFont="1" applyAlignment="1" applyProtection="1">
      <alignment horizontal="left" vertical="center"/>
      <protection hidden="1"/>
    </xf>
    <xf numFmtId="164" fontId="1" fillId="0" borderId="0" xfId="2" applyFont="1" applyAlignment="1" applyProtection="1">
      <protection hidden="1"/>
    </xf>
    <xf numFmtId="164" fontId="1" fillId="0" borderId="10" xfId="2" applyFont="1" applyBorder="1" applyAlignment="1" applyProtection="1">
      <alignment horizontal="left" vertical="center" indent="1"/>
      <protection hidden="1"/>
    </xf>
    <xf numFmtId="164" fontId="1" fillId="0" borderId="11" xfId="2" applyFont="1" applyBorder="1" applyAlignment="1" applyProtection="1">
      <alignment horizontal="left" vertical="center" indent="1"/>
      <protection hidden="1"/>
    </xf>
    <xf numFmtId="164" fontId="1" fillId="0" borderId="0" xfId="2" applyFont="1" applyBorder="1" applyAlignment="1" applyProtection="1">
      <alignment horizontal="left" vertical="center" indent="1"/>
      <protection hidden="1"/>
    </xf>
    <xf numFmtId="9" fontId="1" fillId="0" borderId="4" xfId="1" applyFont="1" applyBorder="1" applyAlignment="1" applyProtection="1">
      <alignment horizontal="left" vertical="center" indent="1"/>
      <protection hidden="1"/>
    </xf>
    <xf numFmtId="164" fontId="1" fillId="0" borderId="4" xfId="2" applyFont="1" applyBorder="1" applyAlignment="1" applyProtection="1">
      <alignment horizontal="left" vertical="center" indent="1"/>
      <protection hidden="1"/>
    </xf>
    <xf numFmtId="164" fontId="1" fillId="0" borderId="12" xfId="2" applyFont="1" applyBorder="1" applyAlignment="1" applyProtection="1">
      <alignment horizontal="left" vertical="center" indent="1"/>
      <protection hidden="1"/>
    </xf>
    <xf numFmtId="164" fontId="1" fillId="0" borderId="13" xfId="2" applyFont="1" applyBorder="1" applyAlignment="1" applyProtection="1">
      <alignment horizontal="left" vertical="center" indent="1"/>
      <protection hidden="1"/>
    </xf>
    <xf numFmtId="164" fontId="1" fillId="0" borderId="14" xfId="2" applyFont="1" applyBorder="1" applyAlignment="1" applyProtection="1">
      <alignment horizontal="left" vertical="center" indent="1"/>
      <protection hidden="1"/>
    </xf>
    <xf numFmtId="0" fontId="20" fillId="5" borderId="0" xfId="3" applyFont="1" applyFill="1" applyAlignment="1" applyProtection="1">
      <alignment horizontal="center" vertical="center"/>
      <protection hidden="1"/>
    </xf>
    <xf numFmtId="0" fontId="13" fillId="5" borderId="0" xfId="3" applyFont="1" applyFill="1" applyAlignment="1" applyProtection="1">
      <alignment horizontal="center" vertical="center"/>
      <protection hidden="1"/>
    </xf>
    <xf numFmtId="0" fontId="28" fillId="2" borderId="0" xfId="4" applyFont="1" applyFill="1" applyAlignment="1" applyProtection="1">
      <alignment vertical="center"/>
      <protection hidden="1"/>
    </xf>
    <xf numFmtId="0" fontId="0" fillId="2" borderId="0" xfId="0" applyFill="1" applyProtection="1">
      <protection hidden="1"/>
    </xf>
    <xf numFmtId="0" fontId="8" fillId="2" borderId="0" xfId="0" applyFont="1" applyFill="1" applyAlignment="1" applyProtection="1">
      <alignment horizontal="right" vertical="top"/>
      <protection hidden="1"/>
    </xf>
    <xf numFmtId="0" fontId="11" fillId="2" borderId="0" xfId="3" applyFont="1" applyFill="1" applyProtection="1">
      <protection hidden="1"/>
    </xf>
    <xf numFmtId="0" fontId="7" fillId="2" borderId="0" xfId="3" quotePrefix="1" applyFont="1" applyFill="1" applyProtection="1">
      <protection hidden="1"/>
    </xf>
    <xf numFmtId="0" fontId="13" fillId="2" borderId="0" xfId="3" applyFont="1" applyFill="1" applyProtection="1">
      <protection hidden="1"/>
    </xf>
    <xf numFmtId="0" fontId="14" fillId="2" borderId="0" xfId="3" applyFont="1" applyFill="1" applyProtection="1">
      <protection hidden="1"/>
    </xf>
    <xf numFmtId="0" fontId="7" fillId="5" borderId="0" xfId="3" applyFont="1" applyFill="1" applyAlignment="1" applyProtection="1">
      <alignment horizontal="center" vertical="center"/>
      <protection hidden="1"/>
    </xf>
    <xf numFmtId="0" fontId="7" fillId="3" borderId="1" xfId="3" applyFont="1" applyFill="1" applyBorder="1" applyAlignment="1" applyProtection="1">
      <alignment horizontal="center" vertical="center"/>
      <protection locked="0" hidden="1"/>
    </xf>
    <xf numFmtId="0" fontId="7" fillId="5" borderId="0" xfId="3" applyFont="1" applyFill="1" applyProtection="1">
      <protection hidden="1"/>
    </xf>
    <xf numFmtId="0" fontId="7" fillId="2" borderId="0" xfId="3" applyFont="1" applyFill="1" applyAlignment="1" applyProtection="1">
      <alignment vertical="center"/>
      <protection hidden="1"/>
    </xf>
    <xf numFmtId="0" fontId="15" fillId="2" borderId="0" xfId="3" applyFont="1" applyFill="1" applyProtection="1">
      <protection hidden="1"/>
    </xf>
    <xf numFmtId="0" fontId="16" fillId="2" borderId="0" xfId="3" applyFont="1" applyFill="1" applyProtection="1">
      <protection hidden="1"/>
    </xf>
    <xf numFmtId="0" fontId="10" fillId="5" borderId="0" xfId="3" applyFont="1" applyFill="1" applyAlignment="1" applyProtection="1">
      <alignment horizontal="left" vertical="center"/>
      <protection hidden="1"/>
    </xf>
    <xf numFmtId="0" fontId="20" fillId="5" borderId="0" xfId="3" applyFont="1" applyFill="1" applyAlignment="1" applyProtection="1">
      <alignment horizontal="left" vertical="center"/>
      <protection hidden="1"/>
    </xf>
    <xf numFmtId="0" fontId="39" fillId="5" borderId="0" xfId="3" applyFont="1" applyFill="1" applyAlignment="1" applyProtection="1">
      <alignment horizontal="center" vertical="center"/>
      <protection hidden="1"/>
    </xf>
    <xf numFmtId="0" fontId="7" fillId="5" borderId="0" xfId="3" applyFont="1" applyFill="1" applyAlignment="1" applyProtection="1">
      <alignment vertical="center"/>
      <protection hidden="1"/>
    </xf>
    <xf numFmtId="0" fontId="30" fillId="5" borderId="0" xfId="0" applyFont="1" applyFill="1" applyAlignment="1" applyProtection="1">
      <alignment horizontal="left" vertical="center"/>
      <protection hidden="1"/>
    </xf>
    <xf numFmtId="0" fontId="7" fillId="2" borderId="0" xfId="3" applyFont="1" applyFill="1" applyAlignment="1" applyProtection="1">
      <alignment wrapText="1"/>
      <protection hidden="1"/>
    </xf>
    <xf numFmtId="0" fontId="20" fillId="5" borderId="0" xfId="3" quotePrefix="1" applyFont="1" applyFill="1" applyAlignment="1" applyProtection="1">
      <alignment horizontal="left" vertical="center" wrapText="1"/>
      <protection hidden="1"/>
    </xf>
    <xf numFmtId="0" fontId="0" fillId="2" borderId="0" xfId="0" applyFill="1" applyAlignment="1" applyProtection="1">
      <alignment wrapText="1"/>
      <protection hidden="1"/>
    </xf>
    <xf numFmtId="0" fontId="17" fillId="2" borderId="0" xfId="3" applyFont="1" applyFill="1" applyProtection="1">
      <protection hidden="1"/>
    </xf>
    <xf numFmtId="0" fontId="7" fillId="2" borderId="0" xfId="3" applyFont="1" applyFill="1" applyAlignment="1" applyProtection="1">
      <alignment horizontal="center" vertical="center"/>
      <protection hidden="1"/>
    </xf>
    <xf numFmtId="0" fontId="7" fillId="2" borderId="0" xfId="3" quotePrefix="1" applyFont="1" applyFill="1" applyAlignment="1" applyProtection="1">
      <alignment horizontal="left" wrapText="1"/>
      <protection hidden="1"/>
    </xf>
    <xf numFmtId="0" fontId="7" fillId="5" borderId="0" xfId="3" applyFont="1" applyFill="1" applyAlignment="1" applyProtection="1">
      <alignment horizontal="left" vertical="center" wrapText="1"/>
      <protection hidden="1"/>
    </xf>
    <xf numFmtId="0" fontId="7" fillId="2" borderId="0" xfId="3" quotePrefix="1" applyFont="1" applyFill="1" applyAlignment="1" applyProtection="1">
      <alignment horizontal="left" vertical="center" wrapText="1"/>
      <protection hidden="1"/>
    </xf>
    <xf numFmtId="0" fontId="26" fillId="2" borderId="0" xfId="3" applyFont="1" applyFill="1" applyBorder="1" applyAlignment="1" applyProtection="1">
      <alignment horizontal="center" vertical="center"/>
      <protection hidden="1"/>
    </xf>
    <xf numFmtId="0" fontId="25" fillId="2" borderId="0" xfId="3" applyFont="1" applyFill="1" applyProtection="1">
      <protection hidden="1"/>
    </xf>
    <xf numFmtId="0" fontId="0" fillId="2" borderId="0" xfId="0" applyFill="1" applyBorder="1" applyProtection="1">
      <protection hidden="1"/>
    </xf>
    <xf numFmtId="0" fontId="0" fillId="7" borderId="0" xfId="0" applyFill="1" applyProtection="1">
      <protection hidden="1"/>
    </xf>
    <xf numFmtId="0" fontId="42" fillId="8" borderId="15" xfId="0" applyFont="1" applyFill="1" applyBorder="1" applyAlignment="1">
      <alignment horizontal="center" vertical="center" wrapText="1"/>
    </xf>
    <xf numFmtId="0" fontId="42" fillId="8" borderId="7" xfId="0" applyFont="1" applyFill="1" applyBorder="1" applyAlignment="1">
      <alignment horizontal="center" vertical="center" wrapText="1"/>
    </xf>
    <xf numFmtId="0" fontId="42" fillId="8" borderId="7" xfId="0" applyFont="1" applyFill="1" applyBorder="1" applyAlignment="1">
      <alignment horizontal="center" vertical="center"/>
    </xf>
    <xf numFmtId="0" fontId="23" fillId="6" borderId="17" xfId="0" applyFont="1" applyFill="1" applyBorder="1" applyAlignment="1">
      <alignment horizontal="center" vertical="center" wrapText="1"/>
    </xf>
    <xf numFmtId="0" fontId="23" fillId="0" borderId="19" xfId="0" applyFont="1" applyBorder="1" applyAlignment="1">
      <alignment horizontal="center" vertical="center" wrapText="1"/>
    </xf>
    <xf numFmtId="0" fontId="24" fillId="0" borderId="19" xfId="0" applyFont="1" applyBorder="1" applyAlignment="1">
      <alignment horizontal="center" vertical="center"/>
    </xf>
    <xf numFmtId="0" fontId="24" fillId="0" borderId="19" xfId="0" applyFont="1" applyBorder="1" applyAlignment="1">
      <alignment horizontal="center" vertical="center" wrapText="1"/>
    </xf>
    <xf numFmtId="0" fontId="23" fillId="6" borderId="0" xfId="0" applyFont="1" applyFill="1" applyBorder="1" applyAlignment="1">
      <alignment horizontal="center" vertical="center" wrapText="1"/>
    </xf>
    <xf numFmtId="0" fontId="0" fillId="0" borderId="0" xfId="0" applyNumberFormat="1"/>
    <xf numFmtId="10" fontId="0" fillId="0" borderId="0" xfId="0" applyNumberFormat="1"/>
    <xf numFmtId="10" fontId="0" fillId="0" borderId="0" xfId="1" applyNumberFormat="1" applyFont="1"/>
    <xf numFmtId="164" fontId="22" fillId="0" borderId="0" xfId="2" applyFont="1" applyAlignment="1" applyProtection="1">
      <alignment horizontal="left" vertical="center" indent="1"/>
      <protection hidden="1"/>
    </xf>
    <xf numFmtId="164" fontId="18" fillId="0" borderId="9" xfId="2" applyFont="1" applyBorder="1" applyAlignment="1">
      <alignment horizontal="center"/>
    </xf>
    <xf numFmtId="164" fontId="18" fillId="0" borderId="8" xfId="2" applyFont="1" applyBorder="1" applyAlignment="1">
      <alignment horizontal="center"/>
    </xf>
    <xf numFmtId="164" fontId="18" fillId="0" borderId="10" xfId="2" applyFont="1" applyBorder="1" applyAlignment="1">
      <alignment horizontal="center"/>
    </xf>
    <xf numFmtId="0" fontId="0" fillId="2" borderId="0" xfId="0" applyFont="1" applyFill="1" applyProtection="1">
      <protection hidden="1"/>
    </xf>
    <xf numFmtId="0" fontId="20" fillId="5" borderId="0" xfId="1" applyNumberFormat="1" applyFont="1" applyFill="1" applyBorder="1" applyAlignment="1" applyProtection="1">
      <alignment horizontal="center" vertical="center"/>
      <protection hidden="1"/>
    </xf>
    <xf numFmtId="0" fontId="7" fillId="5" borderId="0" xfId="3" applyFont="1" applyFill="1" applyBorder="1" applyAlignment="1" applyProtection="1">
      <alignment vertical="center"/>
      <protection hidden="1"/>
    </xf>
    <xf numFmtId="164" fontId="1" fillId="0" borderId="0" xfId="2" applyFont="1" applyFill="1" applyBorder="1" applyAlignment="1" applyProtection="1">
      <alignment horizontal="left" vertical="center" indent="1"/>
      <protection hidden="1"/>
    </xf>
    <xf numFmtId="0" fontId="10" fillId="2" borderId="0" xfId="3" applyFont="1" applyFill="1" applyAlignment="1" applyProtection="1">
      <protection hidden="1"/>
    </xf>
    <xf numFmtId="0" fontId="14" fillId="5" borderId="0" xfId="3" quotePrefix="1" applyFont="1" applyFill="1" applyAlignment="1" applyProtection="1">
      <alignment horizontal="left" vertical="center"/>
      <protection hidden="1"/>
    </xf>
    <xf numFmtId="0" fontId="7" fillId="5" borderId="0" xfId="3" applyFont="1" applyFill="1" applyBorder="1" applyAlignment="1" applyProtection="1">
      <alignment horizontal="left" vertical="center"/>
      <protection hidden="1"/>
    </xf>
    <xf numFmtId="168" fontId="7" fillId="5" borderId="0" xfId="3" applyNumberFormat="1" applyFont="1" applyFill="1" applyAlignment="1" applyProtection="1">
      <alignment vertical="center"/>
      <protection hidden="1"/>
    </xf>
    <xf numFmtId="0" fontId="7" fillId="5" borderId="0" xfId="3" applyFont="1" applyFill="1" applyAlignment="1" applyProtection="1">
      <alignment horizontal="center"/>
      <protection hidden="1"/>
    </xf>
    <xf numFmtId="0" fontId="7" fillId="5" borderId="0" xfId="3" applyFont="1" applyFill="1" applyAlignment="1" applyProtection="1">
      <alignment vertical="center" wrapText="1"/>
      <protection hidden="1"/>
    </xf>
    <xf numFmtId="0" fontId="41" fillId="2" borderId="0" xfId="3" applyFont="1" applyFill="1" applyAlignment="1" applyProtection="1">
      <protection hidden="1"/>
    </xf>
    <xf numFmtId="0" fontId="47" fillId="0" borderId="0" xfId="0" applyFont="1"/>
    <xf numFmtId="0" fontId="14" fillId="3" borderId="0" xfId="3" applyNumberFormat="1" applyFont="1" applyFill="1" applyProtection="1">
      <protection locked="0"/>
    </xf>
    <xf numFmtId="0" fontId="48" fillId="0" borderId="0" xfId="0" applyFont="1" applyAlignment="1"/>
    <xf numFmtId="0" fontId="14" fillId="10" borderId="0" xfId="3" applyNumberFormat="1" applyFont="1" applyFill="1" applyProtection="1">
      <protection locked="0"/>
    </xf>
    <xf numFmtId="0" fontId="14" fillId="9" borderId="0" xfId="3" applyNumberFormat="1" applyFont="1" applyFill="1" applyProtection="1">
      <protection locked="0"/>
    </xf>
    <xf numFmtId="0" fontId="49" fillId="0" borderId="0" xfId="0" applyFont="1"/>
    <xf numFmtId="0" fontId="0" fillId="0" borderId="0" xfId="0" applyAlignment="1"/>
    <xf numFmtId="0" fontId="0" fillId="0" borderId="0" xfId="0" applyAlignment="1">
      <alignment horizontal="center" vertical="center"/>
    </xf>
    <xf numFmtId="0" fontId="50" fillId="0" borderId="0" xfId="0" applyFont="1" applyAlignment="1"/>
    <xf numFmtId="0" fontId="0" fillId="0" borderId="0" xfId="0" applyAlignment="1">
      <alignment horizontal="center" vertical="center" wrapText="1"/>
    </xf>
    <xf numFmtId="0" fontId="0" fillId="0" borderId="0" xfId="0" applyAlignment="1">
      <alignment wrapText="1"/>
    </xf>
    <xf numFmtId="0" fontId="0" fillId="0" borderId="0" xfId="0" applyAlignment="1">
      <alignment vertical="center"/>
    </xf>
    <xf numFmtId="0" fontId="51" fillId="0" borderId="0" xfId="0" applyFont="1"/>
    <xf numFmtId="0" fontId="0" fillId="0" borderId="0" xfId="0" applyAlignment="1">
      <alignment horizontal="center"/>
    </xf>
    <xf numFmtId="0" fontId="48" fillId="0" borderId="0" xfId="0" applyFont="1"/>
    <xf numFmtId="0" fontId="0" fillId="0" borderId="21" xfId="0" applyBorder="1" applyAlignment="1">
      <alignment horizontal="center"/>
    </xf>
    <xf numFmtId="0" fontId="0" fillId="0" borderId="22" xfId="0" applyBorder="1" applyAlignment="1"/>
    <xf numFmtId="0" fontId="0" fillId="0" borderId="0" xfId="0" applyBorder="1" applyAlignment="1"/>
    <xf numFmtId="0" fontId="0" fillId="0" borderId="18" xfId="0" applyBorder="1" applyAlignment="1"/>
    <xf numFmtId="0" fontId="0" fillId="0" borderId="0" xfId="0" applyFill="1"/>
    <xf numFmtId="0" fontId="7" fillId="0" borderId="0" xfId="3" applyFont="1" applyFill="1" applyAlignment="1" applyProtection="1">
      <alignment horizontal="left" vertical="center" wrapText="1"/>
      <protection hidden="1"/>
    </xf>
    <xf numFmtId="0" fontId="0" fillId="0" borderId="0" xfId="0" applyFill="1" applyAlignment="1">
      <alignment vertical="center"/>
    </xf>
    <xf numFmtId="0" fontId="0" fillId="0" borderId="0" xfId="0" applyFill="1" applyAlignment="1">
      <alignment wrapText="1"/>
    </xf>
    <xf numFmtId="0" fontId="0" fillId="0" borderId="0" xfId="0" applyAlignment="1">
      <alignment horizontal="center" wrapText="1"/>
    </xf>
    <xf numFmtId="0" fontId="8" fillId="2" borderId="0" xfId="0" applyFont="1" applyFill="1" applyAlignment="1" applyProtection="1">
      <alignment vertical="center" wrapText="1"/>
      <protection hidden="1"/>
    </xf>
    <xf numFmtId="0" fontId="44" fillId="5" borderId="0" xfId="3" applyFont="1" applyFill="1" applyAlignment="1" applyProtection="1">
      <protection hidden="1"/>
    </xf>
    <xf numFmtId="0" fontId="7" fillId="5" borderId="0" xfId="3" applyFont="1" applyFill="1" applyAlignment="1" applyProtection="1">
      <protection hidden="1"/>
    </xf>
    <xf numFmtId="0" fontId="18" fillId="5" borderId="5" xfId="3" applyFont="1" applyFill="1" applyBorder="1" applyAlignment="1" applyProtection="1">
      <alignment horizontal="left" vertical="center"/>
      <protection hidden="1"/>
    </xf>
    <xf numFmtId="166" fontId="18" fillId="5" borderId="6" xfId="2" applyNumberFormat="1" applyFont="1" applyFill="1" applyBorder="1" applyAlignment="1" applyProtection="1">
      <alignment horizontal="center" vertical="center"/>
      <protection hidden="1"/>
    </xf>
    <xf numFmtId="0" fontId="0" fillId="0" borderId="0" xfId="0" applyFont="1" applyAlignment="1">
      <alignment wrapText="1"/>
    </xf>
    <xf numFmtId="0" fontId="0" fillId="0" borderId="0" xfId="0" applyAlignment="1">
      <alignment horizontal="left" vertical="center" wrapText="1"/>
    </xf>
    <xf numFmtId="0" fontId="48" fillId="0" borderId="0" xfId="0" applyFont="1" applyAlignment="1">
      <alignment horizontal="center"/>
    </xf>
    <xf numFmtId="164" fontId="7" fillId="3" borderId="0" xfId="2" applyFont="1" applyFill="1" applyBorder="1"/>
    <xf numFmtId="0" fontId="13" fillId="5" borderId="0" xfId="3" applyFont="1" applyFill="1" applyBorder="1" applyAlignment="1" applyProtection="1">
      <alignment horizontal="center" vertical="center"/>
      <protection hidden="1"/>
    </xf>
    <xf numFmtId="0" fontId="52" fillId="2" borderId="0" xfId="3" applyFont="1" applyFill="1" applyProtection="1">
      <protection hidden="1"/>
    </xf>
    <xf numFmtId="168" fontId="7" fillId="5" borderId="0" xfId="3" applyNumberFormat="1" applyFont="1" applyFill="1" applyAlignment="1" applyProtection="1">
      <alignment horizontal="center" vertical="center"/>
      <protection hidden="1"/>
    </xf>
    <xf numFmtId="0" fontId="53" fillId="5" borderId="0" xfId="3" applyFont="1" applyFill="1" applyAlignment="1" applyProtection="1">
      <alignment horizontal="center" vertical="center"/>
      <protection hidden="1"/>
    </xf>
    <xf numFmtId="0" fontId="13" fillId="5" borderId="0" xfId="3" quotePrefix="1" applyFont="1" applyFill="1" applyBorder="1" applyAlignment="1" applyProtection="1">
      <alignment horizontal="left" vertical="center"/>
      <protection hidden="1"/>
    </xf>
    <xf numFmtId="0" fontId="56" fillId="2" borderId="0" xfId="3" applyFont="1" applyFill="1" applyAlignment="1" applyProtection="1">
      <protection hidden="1"/>
    </xf>
    <xf numFmtId="0" fontId="0" fillId="7" borderId="0" xfId="0" applyFont="1" applyFill="1" applyProtection="1">
      <protection hidden="1"/>
    </xf>
    <xf numFmtId="0" fontId="10" fillId="2" borderId="0" xfId="3" applyFont="1" applyFill="1" applyAlignment="1" applyProtection="1">
      <alignment horizontal="left" vertical="center"/>
      <protection hidden="1"/>
    </xf>
    <xf numFmtId="0" fontId="7" fillId="5" borderId="0" xfId="3" applyFont="1" applyFill="1" applyAlignment="1" applyProtection="1">
      <alignment horizontal="center" vertical="center" wrapText="1"/>
      <protection hidden="1"/>
    </xf>
    <xf numFmtId="0" fontId="7" fillId="5" borderId="0" xfId="3" applyFont="1" applyFill="1" applyAlignment="1" applyProtection="1">
      <alignment horizontal="left" vertical="center"/>
      <protection hidden="1"/>
    </xf>
    <xf numFmtId="0" fontId="7" fillId="5" borderId="4" xfId="3" applyFont="1" applyFill="1" applyBorder="1" applyAlignment="1" applyProtection="1">
      <alignment horizontal="left" vertical="center"/>
      <protection hidden="1"/>
    </xf>
    <xf numFmtId="0" fontId="7" fillId="5" borderId="0" xfId="3" applyFont="1" applyFill="1" applyAlignment="1" applyProtection="1">
      <alignment horizontal="left"/>
      <protection hidden="1"/>
    </xf>
    <xf numFmtId="0" fontId="14" fillId="5" borderId="0" xfId="3" quotePrefix="1" applyFont="1" applyFill="1" applyBorder="1" applyAlignment="1" applyProtection="1">
      <alignment horizontal="left" vertical="center"/>
      <protection hidden="1"/>
    </xf>
    <xf numFmtId="0" fontId="7" fillId="5" borderId="0" xfId="3" applyFont="1" applyFill="1" applyBorder="1" applyAlignment="1" applyProtection="1">
      <alignment horizontal="center" vertical="center" wrapText="1"/>
      <protection hidden="1"/>
    </xf>
    <xf numFmtId="0" fontId="6" fillId="2" borderId="0" xfId="4" applyFont="1" applyFill="1" applyBorder="1" applyAlignment="1" applyProtection="1">
      <alignment horizontal="center" vertical="center"/>
      <protection hidden="1"/>
    </xf>
    <xf numFmtId="0" fontId="7" fillId="4" borderId="0" xfId="3" applyFont="1" applyFill="1" applyAlignment="1" applyProtection="1">
      <alignment horizontal="center"/>
      <protection hidden="1"/>
    </xf>
    <xf numFmtId="0" fontId="43" fillId="5" borderId="0" xfId="3" applyFont="1" applyFill="1" applyAlignment="1" applyProtection="1">
      <alignment vertical="center"/>
      <protection hidden="1"/>
    </xf>
    <xf numFmtId="0" fontId="15" fillId="2" borderId="0" xfId="3" applyFont="1" applyFill="1" applyAlignment="1" applyProtection="1">
      <alignment horizontal="center" vertical="center"/>
      <protection hidden="1"/>
    </xf>
    <xf numFmtId="1" fontId="16" fillId="2" borderId="0" xfId="3" applyNumberFormat="1" applyFont="1" applyFill="1" applyAlignment="1" applyProtection="1">
      <alignment horizontal="right" vertical="center" indent="2"/>
      <protection hidden="1"/>
    </xf>
    <xf numFmtId="0" fontId="10" fillId="2" borderId="0" xfId="3" applyFont="1" applyFill="1" applyAlignment="1" applyProtection="1">
      <alignment horizontal="left" vertical="center" wrapText="1"/>
      <protection hidden="1"/>
    </xf>
    <xf numFmtId="0" fontId="7" fillId="7" borderId="0" xfId="3" applyFont="1" applyFill="1" applyAlignment="1" applyProtection="1">
      <alignment wrapText="1"/>
      <protection hidden="1"/>
    </xf>
    <xf numFmtId="0" fontId="7" fillId="5" borderId="0" xfId="3" applyFont="1" applyFill="1" applyBorder="1" applyAlignment="1" applyProtection="1">
      <alignment horizontal="center" vertical="center"/>
      <protection hidden="1"/>
    </xf>
    <xf numFmtId="0" fontId="44" fillId="5" borderId="0" xfId="3" applyFont="1" applyFill="1" applyAlignment="1" applyProtection="1">
      <alignment vertical="center"/>
      <protection hidden="1"/>
    </xf>
    <xf numFmtId="167" fontId="7" fillId="3" borderId="1" xfId="2" applyNumberFormat="1" applyFont="1" applyFill="1" applyBorder="1" applyAlignment="1" applyProtection="1">
      <alignment horizontal="center" vertical="center"/>
      <protection locked="0" hidden="1"/>
    </xf>
    <xf numFmtId="0" fontId="14" fillId="5" borderId="0" xfId="3" applyFont="1" applyFill="1" applyAlignment="1" applyProtection="1">
      <alignment horizontal="center" vertical="center"/>
      <protection hidden="1"/>
    </xf>
    <xf numFmtId="0" fontId="14" fillId="5" borderId="0" xfId="3" applyFont="1" applyFill="1" applyAlignment="1" applyProtection="1">
      <alignment horizontal="left" vertical="center" wrapText="1"/>
      <protection hidden="1"/>
    </xf>
    <xf numFmtId="0" fontId="14" fillId="5" borderId="0" xfId="3" applyFont="1" applyFill="1" applyAlignment="1" applyProtection="1">
      <alignment vertical="center"/>
      <protection hidden="1"/>
    </xf>
    <xf numFmtId="0" fontId="0" fillId="3" borderId="1" xfId="0" applyFill="1" applyBorder="1" applyAlignment="1" applyProtection="1">
      <alignment horizontal="center" vertical="center"/>
      <protection locked="0" hidden="1"/>
    </xf>
    <xf numFmtId="0" fontId="14" fillId="5" borderId="0" xfId="3" applyFont="1" applyFill="1" applyBorder="1" applyAlignment="1" applyProtection="1">
      <alignment horizontal="left" vertical="center" wrapText="1"/>
      <protection hidden="1"/>
    </xf>
    <xf numFmtId="0" fontId="10" fillId="2" borderId="0" xfId="3" applyFont="1" applyFill="1" applyBorder="1" applyAlignment="1" applyProtection="1">
      <protection hidden="1"/>
    </xf>
    <xf numFmtId="0" fontId="14" fillId="5" borderId="0" xfId="3" applyFont="1" applyFill="1" applyBorder="1" applyAlignment="1" applyProtection="1">
      <alignment horizontal="center" vertical="center"/>
      <protection hidden="1"/>
    </xf>
    <xf numFmtId="0" fontId="7" fillId="7" borderId="0" xfId="3" applyFont="1" applyFill="1" applyBorder="1" applyProtection="1">
      <protection hidden="1"/>
    </xf>
    <xf numFmtId="0" fontId="7" fillId="7" borderId="0" xfId="3" applyFont="1" applyFill="1" applyAlignment="1" applyProtection="1">
      <alignment horizontal="center"/>
      <protection hidden="1"/>
    </xf>
    <xf numFmtId="0" fontId="14" fillId="3" borderId="1" xfId="3" applyFont="1" applyFill="1" applyBorder="1" applyAlignment="1" applyProtection="1">
      <alignment horizontal="center" vertical="center" wrapText="1"/>
      <protection locked="0" hidden="1"/>
    </xf>
    <xf numFmtId="0" fontId="13" fillId="5" borderId="0" xfId="3" applyFont="1" applyFill="1" applyBorder="1" applyAlignment="1" applyProtection="1">
      <alignment horizontal="center" vertical="center" wrapText="1"/>
      <protection locked="0" hidden="1"/>
    </xf>
    <xf numFmtId="0" fontId="57" fillId="4" borderId="0" xfId="4" applyFont="1" applyFill="1" applyAlignment="1" applyProtection="1">
      <alignment horizontal="center"/>
      <protection hidden="1"/>
    </xf>
    <xf numFmtId="0" fontId="14" fillId="5" borderId="0" xfId="3" quotePrefix="1" applyFont="1" applyFill="1" applyBorder="1" applyAlignment="1" applyProtection="1">
      <alignment horizontal="left" vertical="center"/>
      <protection hidden="1"/>
    </xf>
    <xf numFmtId="0" fontId="7" fillId="5" borderId="0" xfId="3" applyFont="1" applyFill="1" applyAlignment="1" applyProtection="1">
      <alignment horizontal="left"/>
      <protection hidden="1"/>
    </xf>
    <xf numFmtId="0" fontId="14" fillId="5" borderId="0" xfId="3" quotePrefix="1" applyFont="1" applyFill="1" applyBorder="1" applyAlignment="1" applyProtection="1">
      <alignment horizontal="left" vertical="center"/>
      <protection hidden="1"/>
    </xf>
    <xf numFmtId="0" fontId="20" fillId="5" borderId="0" xfId="0" applyFont="1" applyFill="1" applyAlignment="1" applyProtection="1">
      <alignment horizontal="center" vertical="center"/>
      <protection hidden="1"/>
    </xf>
    <xf numFmtId="0" fontId="20" fillId="5" borderId="0" xfId="0" applyFont="1" applyFill="1" applyAlignment="1" applyProtection="1">
      <alignment horizontal="left" vertical="center"/>
      <protection hidden="1"/>
    </xf>
    <xf numFmtId="0" fontId="10" fillId="5" borderId="0" xfId="3" applyFont="1" applyFill="1" applyAlignment="1" applyProtection="1">
      <protection hidden="1"/>
    </xf>
    <xf numFmtId="0" fontId="10" fillId="5" borderId="7" xfId="3" applyFont="1" applyFill="1" applyBorder="1" applyAlignment="1" applyProtection="1">
      <protection hidden="1"/>
    </xf>
    <xf numFmtId="0" fontId="14" fillId="5" borderId="0" xfId="3" applyFont="1" applyFill="1" applyBorder="1" applyAlignment="1" applyProtection="1">
      <alignment horizontal="left" vertical="center"/>
      <protection hidden="1"/>
    </xf>
    <xf numFmtId="0" fontId="7" fillId="5" borderId="0" xfId="3" applyFont="1" applyFill="1" applyBorder="1" applyAlignment="1" applyProtection="1">
      <alignment horizontal="center" vertical="center"/>
      <protection locked="0"/>
    </xf>
    <xf numFmtId="0" fontId="59" fillId="0" borderId="15" xfId="0" applyFont="1" applyBorder="1" applyAlignment="1">
      <alignment vertical="center" wrapText="1"/>
    </xf>
    <xf numFmtId="9" fontId="60" fillId="0" borderId="7" xfId="0" applyNumberFormat="1" applyFont="1" applyBorder="1" applyAlignment="1">
      <alignment vertical="center" wrapText="1"/>
    </xf>
    <xf numFmtId="0" fontId="59" fillId="0" borderId="17" xfId="0" applyFont="1" applyBorder="1" applyAlignment="1">
      <alignment vertical="center" wrapText="1"/>
    </xf>
    <xf numFmtId="9" fontId="60" fillId="0" borderId="19" xfId="0" applyNumberFormat="1" applyFont="1" applyBorder="1" applyAlignment="1">
      <alignment vertical="center" wrapText="1"/>
    </xf>
    <xf numFmtId="9" fontId="59" fillId="0" borderId="19" xfId="0" applyNumberFormat="1" applyFont="1" applyBorder="1" applyAlignment="1">
      <alignment vertical="center" wrapText="1"/>
    </xf>
    <xf numFmtId="9" fontId="59" fillId="0" borderId="7" xfId="0" applyNumberFormat="1" applyFont="1" applyBorder="1" applyAlignment="1">
      <alignment vertical="center" wrapText="1"/>
    </xf>
    <xf numFmtId="0" fontId="13" fillId="5" borderId="0" xfId="3" applyFont="1" applyFill="1" applyBorder="1" applyAlignment="1" applyProtection="1">
      <alignment horizontal="left" vertical="center" wrapText="1"/>
      <protection hidden="1"/>
    </xf>
    <xf numFmtId="169" fontId="61" fillId="5" borderId="0" xfId="0" applyNumberFormat="1" applyFont="1" applyFill="1" applyBorder="1" applyAlignment="1" applyProtection="1">
      <alignment horizontal="center" vertical="center"/>
      <protection hidden="1"/>
    </xf>
    <xf numFmtId="0" fontId="13" fillId="5" borderId="0" xfId="3" applyFont="1" applyFill="1" applyAlignment="1" applyProtection="1">
      <alignment horizontal="left" vertical="center" wrapText="1"/>
      <protection hidden="1"/>
    </xf>
    <xf numFmtId="9" fontId="13" fillId="5" borderId="0" xfId="1" applyFont="1" applyFill="1" applyBorder="1" applyAlignment="1" applyProtection="1">
      <alignment horizontal="center" vertical="center" wrapText="1"/>
      <protection hidden="1"/>
    </xf>
    <xf numFmtId="0" fontId="55" fillId="5" borderId="0" xfId="0" applyFont="1" applyFill="1" applyBorder="1" applyAlignment="1" applyProtection="1">
      <alignment horizontal="center" vertical="center"/>
      <protection locked="0" hidden="1"/>
    </xf>
    <xf numFmtId="9" fontId="55" fillId="5" borderId="0" xfId="1" applyFont="1" applyFill="1" applyBorder="1" applyAlignment="1" applyProtection="1">
      <alignment horizontal="center" vertical="center"/>
      <protection locked="0" hidden="1"/>
    </xf>
    <xf numFmtId="0" fontId="14" fillId="5" borderId="0" xfId="3" applyFont="1" applyFill="1" applyProtection="1">
      <protection hidden="1"/>
    </xf>
    <xf numFmtId="9" fontId="60" fillId="0" borderId="6" xfId="0" applyNumberFormat="1" applyFont="1" applyBorder="1" applyAlignment="1">
      <alignment vertical="center" wrapText="1"/>
    </xf>
    <xf numFmtId="9" fontId="60" fillId="0" borderId="18" xfId="0" applyNumberFormat="1" applyFont="1" applyBorder="1" applyAlignment="1">
      <alignment vertical="center" wrapText="1"/>
    </xf>
    <xf numFmtId="9" fontId="59" fillId="0" borderId="18" xfId="0" applyNumberFormat="1" applyFont="1" applyBorder="1" applyAlignment="1">
      <alignment vertical="center" wrapText="1"/>
    </xf>
    <xf numFmtId="0" fontId="0" fillId="0" borderId="1" xfId="0" applyBorder="1"/>
    <xf numFmtId="9" fontId="59" fillId="0" borderId="6" xfId="0" applyNumberFormat="1" applyFont="1" applyBorder="1" applyAlignment="1">
      <alignment vertical="center" wrapText="1"/>
    </xf>
    <xf numFmtId="0" fontId="59" fillId="0" borderId="0" xfId="0" applyFont="1" applyFill="1" applyBorder="1" applyAlignment="1">
      <alignment vertical="center" wrapText="1"/>
    </xf>
    <xf numFmtId="9" fontId="59" fillId="0" borderId="19" xfId="1" applyFont="1" applyBorder="1" applyAlignment="1">
      <alignment vertical="center" wrapText="1"/>
    </xf>
    <xf numFmtId="0" fontId="0" fillId="0" borderId="0" xfId="0" applyFill="1" applyAlignment="1">
      <alignment horizontal="left"/>
    </xf>
    <xf numFmtId="0" fontId="23" fillId="0" borderId="0" xfId="0" applyFont="1" applyFill="1" applyBorder="1" applyAlignment="1">
      <alignment horizontal="left" vertical="center" wrapText="1"/>
    </xf>
    <xf numFmtId="4" fontId="13" fillId="5" borderId="0" xfId="3" applyNumberFormat="1" applyFont="1" applyFill="1" applyBorder="1" applyAlignment="1" applyProtection="1">
      <alignment horizontal="center" vertical="center"/>
      <protection hidden="1"/>
    </xf>
    <xf numFmtId="0" fontId="13" fillId="5" borderId="0" xfId="3" applyFont="1" applyFill="1" applyBorder="1" applyAlignment="1" applyProtection="1">
      <alignment horizontal="center" vertical="center"/>
      <protection locked="0"/>
    </xf>
    <xf numFmtId="0" fontId="0" fillId="5" borderId="0" xfId="0" applyFont="1" applyFill="1" applyProtection="1">
      <protection hidden="1"/>
    </xf>
    <xf numFmtId="9" fontId="0" fillId="0" borderId="1" xfId="0" applyNumberFormat="1"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Fill="1" applyBorder="1"/>
    <xf numFmtId="0" fontId="55" fillId="5" borderId="0" xfId="0" applyFont="1" applyFill="1" applyBorder="1" applyAlignment="1" applyProtection="1">
      <alignment horizontal="center" vertical="center"/>
      <protection locked="0"/>
    </xf>
    <xf numFmtId="0" fontId="7" fillId="5" borderId="0" xfId="3" applyFont="1" applyFill="1" applyAlignment="1" applyProtection="1">
      <alignment horizontal="center" vertical="center" wrapText="1"/>
      <protection hidden="1"/>
    </xf>
    <xf numFmtId="0" fontId="7" fillId="5" borderId="0" xfId="3" applyFont="1" applyFill="1" applyAlignment="1" applyProtection="1">
      <alignment horizontal="left" vertical="center"/>
      <protection hidden="1"/>
    </xf>
    <xf numFmtId="0" fontId="14" fillId="5" borderId="0" xfId="3" quotePrefix="1" applyFont="1" applyFill="1" applyBorder="1" applyAlignment="1" applyProtection="1">
      <alignment horizontal="left" vertical="center"/>
      <protection hidden="1"/>
    </xf>
    <xf numFmtId="0" fontId="14" fillId="5" borderId="0" xfId="3" applyFont="1" applyFill="1" applyAlignment="1" applyProtection="1">
      <alignment horizontal="center" vertical="center"/>
      <protection hidden="1"/>
    </xf>
    <xf numFmtId="0" fontId="7" fillId="5" borderId="0" xfId="3" applyFont="1" applyFill="1" applyBorder="1" applyAlignment="1" applyProtection="1">
      <alignment horizontal="center" vertical="center"/>
      <protection hidden="1"/>
    </xf>
    <xf numFmtId="9" fontId="0" fillId="0" borderId="0" xfId="1" applyNumberFormat="1" applyFont="1"/>
    <xf numFmtId="0" fontId="62" fillId="3" borderId="1" xfId="0" applyFont="1" applyFill="1" applyBorder="1" applyAlignment="1" applyProtection="1">
      <alignment horizontal="center" vertical="center"/>
      <protection locked="0"/>
    </xf>
    <xf numFmtId="0" fontId="62" fillId="5" borderId="0" xfId="0" applyFont="1" applyFill="1" applyBorder="1" applyAlignment="1" applyProtection="1">
      <alignment vertical="center"/>
      <protection locked="0"/>
    </xf>
    <xf numFmtId="0" fontId="14" fillId="5" borderId="0" xfId="3" applyFont="1" applyFill="1" applyBorder="1" applyAlignment="1" applyProtection="1">
      <alignment vertical="center"/>
      <protection hidden="1"/>
    </xf>
    <xf numFmtId="0" fontId="25" fillId="2" borderId="0" xfId="3" applyFont="1" applyFill="1" applyBorder="1" applyAlignment="1" applyProtection="1">
      <alignment vertical="center"/>
      <protection hidden="1"/>
    </xf>
    <xf numFmtId="0" fontId="13" fillId="5" borderId="0" xfId="3" applyFont="1" applyFill="1" applyBorder="1" applyAlignment="1" applyProtection="1">
      <alignment vertical="center" wrapText="1"/>
      <protection hidden="1"/>
    </xf>
    <xf numFmtId="0" fontId="14" fillId="7" borderId="2" xfId="3" applyFont="1" applyFill="1" applyBorder="1" applyAlignment="1" applyProtection="1">
      <alignment horizontal="center" vertical="center"/>
      <protection hidden="1"/>
    </xf>
    <xf numFmtId="0" fontId="14" fillId="7" borderId="1" xfId="3" applyFont="1" applyFill="1" applyBorder="1" applyAlignment="1" applyProtection="1">
      <alignment horizontal="center" vertical="center"/>
      <protection hidden="1"/>
    </xf>
    <xf numFmtId="0" fontId="45" fillId="7" borderId="1" xfId="3" applyFont="1" applyFill="1" applyBorder="1" applyAlignment="1" applyProtection="1">
      <alignment horizontal="center" vertical="center"/>
      <protection hidden="1"/>
    </xf>
    <xf numFmtId="3" fontId="14" fillId="11" borderId="0" xfId="2" applyNumberFormat="1" applyFont="1" applyFill="1" applyBorder="1" applyAlignment="1" applyProtection="1">
      <alignment horizontal="center" vertical="center"/>
    </xf>
    <xf numFmtId="0" fontId="7" fillId="11" borderId="1" xfId="3" applyFont="1" applyFill="1" applyBorder="1" applyAlignment="1" applyProtection="1">
      <alignment horizontal="center" vertical="center"/>
    </xf>
    <xf numFmtId="0" fontId="23" fillId="6" borderId="32" xfId="0" applyFont="1" applyFill="1" applyBorder="1" applyAlignment="1">
      <alignment horizontal="center" vertical="center" wrapText="1"/>
    </xf>
    <xf numFmtId="0" fontId="20" fillId="5" borderId="0" xfId="3" quotePrefix="1" applyFont="1" applyFill="1" applyAlignment="1" applyProtection="1">
      <alignment horizontal="left" vertical="center"/>
      <protection hidden="1"/>
    </xf>
    <xf numFmtId="0" fontId="20" fillId="2" borderId="0" xfId="3" quotePrefix="1" applyFont="1" applyFill="1" applyAlignment="1" applyProtection="1">
      <alignment horizontal="left" vertical="center"/>
      <protection hidden="1"/>
    </xf>
    <xf numFmtId="0" fontId="13" fillId="2" borderId="0" xfId="3" applyFont="1" applyFill="1" applyAlignment="1" applyProtection="1">
      <alignment horizontal="center" vertical="center"/>
      <protection hidden="1"/>
    </xf>
    <xf numFmtId="0" fontId="14" fillId="2" borderId="0" xfId="3" quotePrefix="1" applyFont="1" applyFill="1" applyBorder="1" applyAlignment="1" applyProtection="1">
      <alignment horizontal="left" vertical="center"/>
      <protection hidden="1"/>
    </xf>
    <xf numFmtId="0" fontId="13" fillId="2" borderId="0" xfId="3" quotePrefix="1" applyFont="1" applyFill="1" applyBorder="1" applyAlignment="1" applyProtection="1">
      <alignment horizontal="left" vertical="center"/>
      <protection hidden="1"/>
    </xf>
    <xf numFmtId="0" fontId="43" fillId="2" borderId="0" xfId="3" applyFont="1" applyFill="1" applyAlignment="1" applyProtection="1">
      <alignment vertical="center"/>
      <protection hidden="1"/>
    </xf>
    <xf numFmtId="0" fontId="14" fillId="2" borderId="0" xfId="3" quotePrefix="1" applyFont="1" applyFill="1" applyAlignment="1" applyProtection="1">
      <alignment horizontal="left" vertical="center"/>
      <protection hidden="1"/>
    </xf>
    <xf numFmtId="0" fontId="53" fillId="2" borderId="0" xfId="3" applyFont="1" applyFill="1" applyAlignment="1" applyProtection="1">
      <alignment horizontal="center" vertical="center"/>
      <protection hidden="1"/>
    </xf>
    <xf numFmtId="0" fontId="66" fillId="2" borderId="0" xfId="3" applyFont="1" applyFill="1" applyAlignment="1" applyProtection="1">
      <alignment horizontal="center" vertical="center"/>
      <protection hidden="1"/>
    </xf>
    <xf numFmtId="0" fontId="53" fillId="3" borderId="0" xfId="3" applyFont="1" applyFill="1" applyAlignment="1" applyProtection="1">
      <alignment horizontal="center" vertical="center"/>
      <protection hidden="1"/>
    </xf>
    <xf numFmtId="0" fontId="14" fillId="3" borderId="0" xfId="3" quotePrefix="1" applyFont="1" applyFill="1" applyBorder="1" applyAlignment="1" applyProtection="1">
      <alignment horizontal="left" vertical="center"/>
      <protection hidden="1"/>
    </xf>
    <xf numFmtId="0" fontId="14" fillId="3" borderId="0" xfId="3" quotePrefix="1" applyFont="1" applyFill="1" applyAlignment="1" applyProtection="1">
      <alignment horizontal="left" vertical="center"/>
      <protection hidden="1"/>
    </xf>
    <xf numFmtId="0" fontId="0" fillId="5" borderId="0" xfId="0" applyFill="1" applyProtection="1">
      <protection hidden="1"/>
    </xf>
    <xf numFmtId="0" fontId="0" fillId="7" borderId="25" xfId="0" applyFill="1" applyBorder="1" applyProtection="1">
      <protection hidden="1"/>
    </xf>
    <xf numFmtId="0" fontId="0" fillId="7" borderId="0" xfId="0" applyFill="1" applyBorder="1" applyProtection="1">
      <protection hidden="1"/>
    </xf>
    <xf numFmtId="0" fontId="67" fillId="7" borderId="0" xfId="3" applyFont="1" applyFill="1" applyProtection="1">
      <protection hidden="1"/>
    </xf>
    <xf numFmtId="0" fontId="68" fillId="7" borderId="0" xfId="0" applyFont="1" applyFill="1" applyProtection="1">
      <protection hidden="1"/>
    </xf>
    <xf numFmtId="0" fontId="39" fillId="2" borderId="0" xfId="3" applyFont="1" applyFill="1" applyAlignment="1" applyProtection="1">
      <alignment horizontal="center" vertical="center"/>
      <protection hidden="1"/>
    </xf>
    <xf numFmtId="0" fontId="14" fillId="5" borderId="0" xfId="3" quotePrefix="1" applyFont="1" applyFill="1" applyBorder="1" applyAlignment="1" applyProtection="1">
      <alignment vertical="center"/>
      <protection hidden="1"/>
    </xf>
    <xf numFmtId="0" fontId="20" fillId="5" borderId="0" xfId="3" quotePrefix="1" applyFont="1" applyFill="1" applyAlignment="1" applyProtection="1">
      <alignment vertical="center"/>
      <protection hidden="1"/>
    </xf>
    <xf numFmtId="1" fontId="66" fillId="2" borderId="0" xfId="3" applyNumberFormat="1" applyFont="1" applyFill="1" applyAlignment="1" applyProtection="1">
      <alignment horizontal="right" vertical="center" indent="2"/>
      <protection hidden="1"/>
    </xf>
    <xf numFmtId="0" fontId="20" fillId="5" borderId="0" xfId="3" quotePrefix="1" applyFont="1" applyFill="1" applyBorder="1" applyAlignment="1" applyProtection="1">
      <alignment vertical="center"/>
      <protection hidden="1"/>
    </xf>
    <xf numFmtId="0" fontId="20" fillId="5" borderId="0" xfId="3" quotePrefix="1" applyFont="1" applyFill="1" applyBorder="1" applyAlignment="1" applyProtection="1">
      <alignment horizontal="left" vertical="center"/>
      <protection hidden="1"/>
    </xf>
    <xf numFmtId="0" fontId="55" fillId="5" borderId="0" xfId="0" applyFont="1" applyFill="1" applyBorder="1" applyProtection="1">
      <protection hidden="1"/>
    </xf>
    <xf numFmtId="2" fontId="0" fillId="5" borderId="0" xfId="0" applyNumberFormat="1" applyFill="1" applyAlignment="1" applyProtection="1">
      <alignment horizontal="center" vertical="center"/>
      <protection hidden="1"/>
    </xf>
    <xf numFmtId="0" fontId="0" fillId="12" borderId="0" xfId="0" applyFill="1" applyBorder="1" applyProtection="1">
      <protection hidden="1"/>
    </xf>
    <xf numFmtId="0" fontId="0" fillId="12" borderId="0" xfId="0" applyFill="1" applyProtection="1">
      <protection hidden="1"/>
    </xf>
    <xf numFmtId="0" fontId="63" fillId="2" borderId="0" xfId="0" applyFont="1" applyFill="1" applyProtection="1">
      <protection hidden="1"/>
    </xf>
    <xf numFmtId="0" fontId="0" fillId="3" borderId="0" xfId="0" applyFill="1" applyBorder="1" applyProtection="1">
      <protection hidden="1"/>
    </xf>
    <xf numFmtId="0" fontId="64" fillId="5" borderId="0" xfId="0" applyFont="1" applyFill="1" applyProtection="1">
      <protection hidden="1"/>
    </xf>
    <xf numFmtId="0" fontId="64" fillId="5" borderId="0" xfId="0" applyFont="1" applyFill="1" applyAlignment="1" applyProtection="1">
      <alignment vertical="center"/>
      <protection hidden="1"/>
    </xf>
    <xf numFmtId="0" fontId="0" fillId="2" borderId="0" xfId="0" applyFill="1" applyAlignment="1" applyProtection="1">
      <alignment horizontal="center"/>
      <protection hidden="1"/>
    </xf>
    <xf numFmtId="0" fontId="0" fillId="5" borderId="0" xfId="0" applyFill="1" applyAlignment="1" applyProtection="1">
      <alignment vertical="center"/>
      <protection hidden="1"/>
    </xf>
    <xf numFmtId="0" fontId="52" fillId="2" borderId="0" xfId="0" applyFont="1" applyFill="1" applyProtection="1">
      <protection hidden="1"/>
    </xf>
    <xf numFmtId="0" fontId="0" fillId="5" borderId="0" xfId="0" applyFill="1" applyBorder="1" applyAlignment="1" applyProtection="1">
      <alignment vertical="center"/>
      <protection hidden="1"/>
    </xf>
    <xf numFmtId="2" fontId="0" fillId="5" borderId="0" xfId="0" applyNumberFormat="1" applyFill="1" applyAlignment="1" applyProtection="1">
      <protection hidden="1"/>
    </xf>
    <xf numFmtId="0" fontId="64" fillId="5" borderId="5" xfId="0" applyFont="1" applyFill="1" applyBorder="1" applyProtection="1">
      <protection hidden="1"/>
    </xf>
    <xf numFmtId="0" fontId="64" fillId="5" borderId="6" xfId="0" applyFont="1" applyFill="1" applyBorder="1" applyProtection="1">
      <protection hidden="1"/>
    </xf>
    <xf numFmtId="2" fontId="64" fillId="5" borderId="6" xfId="0" applyNumberFormat="1" applyFont="1" applyFill="1" applyBorder="1" applyAlignment="1" applyProtection="1">
      <alignment horizontal="center"/>
      <protection hidden="1"/>
    </xf>
    <xf numFmtId="0" fontId="0" fillId="2" borderId="0" xfId="0" applyFill="1" applyAlignment="1" applyProtection="1">
      <alignment horizontal="right" vertical="center"/>
      <protection hidden="1"/>
    </xf>
    <xf numFmtId="0" fontId="0" fillId="7" borderId="0" xfId="0" applyFill="1" applyAlignment="1" applyProtection="1">
      <alignment horizontal="right"/>
      <protection hidden="1"/>
    </xf>
    <xf numFmtId="0" fontId="0" fillId="5" borderId="0" xfId="0" applyFill="1" applyAlignment="1" applyProtection="1">
      <alignment horizontal="center"/>
      <protection hidden="1"/>
    </xf>
    <xf numFmtId="2" fontId="0" fillId="5" borderId="0" xfId="0" applyNumberFormat="1" applyFill="1" applyAlignment="1" applyProtection="1">
      <alignment horizontal="center"/>
      <protection hidden="1"/>
    </xf>
    <xf numFmtId="2" fontId="0" fillId="5" borderId="0" xfId="0" applyNumberFormat="1" applyFill="1" applyProtection="1">
      <protection hidden="1"/>
    </xf>
    <xf numFmtId="0" fontId="0" fillId="5" borderId="7" xfId="0" applyFill="1" applyBorder="1" applyProtection="1">
      <protection hidden="1"/>
    </xf>
    <xf numFmtId="0" fontId="14" fillId="2" borderId="0" xfId="3" applyFont="1" applyFill="1" applyBorder="1" applyProtection="1">
      <protection hidden="1"/>
    </xf>
    <xf numFmtId="0" fontId="14" fillId="2" borderId="0" xfId="3" applyFont="1" applyFill="1" applyBorder="1" applyAlignment="1" applyProtection="1">
      <alignment horizontal="center" vertical="center"/>
      <protection hidden="1"/>
    </xf>
    <xf numFmtId="0" fontId="15" fillId="2" borderId="0" xfId="3" applyFont="1" applyFill="1" applyBorder="1" applyProtection="1">
      <protection hidden="1"/>
    </xf>
    <xf numFmtId="0" fontId="16" fillId="2" borderId="0" xfId="3" applyFont="1" applyFill="1" applyBorder="1" applyProtection="1">
      <protection hidden="1"/>
    </xf>
    <xf numFmtId="0" fontId="7" fillId="2" borderId="0" xfId="3" applyFont="1" applyFill="1" applyBorder="1" applyAlignment="1" applyProtection="1">
      <alignment horizontal="left"/>
      <protection hidden="1"/>
    </xf>
    <xf numFmtId="0" fontId="34" fillId="7" borderId="0" xfId="3" applyFont="1" applyFill="1" applyProtection="1">
      <protection hidden="1"/>
    </xf>
    <xf numFmtId="0" fontId="40" fillId="2" borderId="0" xfId="4" applyFont="1" applyFill="1" applyProtection="1">
      <protection hidden="1"/>
    </xf>
    <xf numFmtId="0" fontId="69" fillId="2" borderId="0" xfId="4" applyFont="1" applyFill="1" applyProtection="1">
      <protection hidden="1"/>
    </xf>
    <xf numFmtId="0" fontId="20" fillId="3" borderId="0" xfId="3" applyFont="1" applyFill="1" applyAlignment="1" applyProtection="1">
      <alignment vertical="center"/>
      <protection hidden="1"/>
    </xf>
    <xf numFmtId="0" fontId="0" fillId="3" borderId="0" xfId="0" applyFill="1" applyProtection="1">
      <protection hidden="1"/>
    </xf>
    <xf numFmtId="0" fontId="0" fillId="5" borderId="0" xfId="0" applyFill="1" applyAlignment="1" applyProtection="1">
      <alignment horizontal="right"/>
      <protection hidden="1"/>
    </xf>
    <xf numFmtId="0" fontId="0" fillId="5" borderId="6" xfId="0" applyFill="1" applyBorder="1" applyProtection="1">
      <protection hidden="1"/>
    </xf>
    <xf numFmtId="3" fontId="45" fillId="13" borderId="1" xfId="3" applyNumberFormat="1" applyFont="1" applyFill="1" applyBorder="1" applyAlignment="1" applyProtection="1">
      <alignment horizontal="center" vertical="center"/>
      <protection hidden="1"/>
    </xf>
    <xf numFmtId="0" fontId="50" fillId="0" borderId="0" xfId="0" applyFont="1" applyAlignment="1" applyProtection="1"/>
    <xf numFmtId="0" fontId="0" fillId="0" borderId="0" xfId="0" applyProtection="1"/>
    <xf numFmtId="0" fontId="0" fillId="11" borderId="1" xfId="0" applyFill="1" applyBorder="1" applyAlignment="1" applyProtection="1">
      <alignment vertical="center"/>
    </xf>
    <xf numFmtId="0" fontId="0" fillId="0" borderId="0" xfId="0" applyAlignment="1" applyProtection="1">
      <alignment horizontal="center" vertical="center" wrapText="1"/>
    </xf>
    <xf numFmtId="0" fontId="14" fillId="9" borderId="0" xfId="3" applyNumberFormat="1" applyFont="1" applyFill="1" applyProtection="1"/>
    <xf numFmtId="0" fontId="14" fillId="11" borderId="1" xfId="3" applyFont="1" applyFill="1" applyBorder="1" applyAlignment="1" applyProtection="1">
      <alignment horizontal="center" vertical="center"/>
    </xf>
    <xf numFmtId="0" fontId="0" fillId="11" borderId="1" xfId="0" applyFill="1" applyBorder="1" applyProtection="1"/>
    <xf numFmtId="0" fontId="0" fillId="3" borderId="0" xfId="0" applyFill="1" applyProtection="1"/>
    <xf numFmtId="0" fontId="14" fillId="11" borderId="0" xfId="3" applyFont="1" applyFill="1" applyAlignment="1" applyProtection="1">
      <alignment vertical="center" wrapText="1"/>
    </xf>
    <xf numFmtId="0" fontId="0" fillId="11" borderId="0" xfId="0" applyFill="1" applyProtection="1"/>
    <xf numFmtId="3" fontId="0" fillId="0" borderId="0" xfId="0" applyNumberFormat="1" applyProtection="1"/>
    <xf numFmtId="0" fontId="0" fillId="0" borderId="0" xfId="0" applyAlignment="1" applyProtection="1">
      <alignment wrapText="1"/>
    </xf>
    <xf numFmtId="0" fontId="0" fillId="0" borderId="0" xfId="0" applyFont="1" applyProtection="1"/>
    <xf numFmtId="0" fontId="48" fillId="0" borderId="0" xfId="0" applyFont="1" applyAlignment="1" applyProtection="1">
      <alignment horizontal="center"/>
    </xf>
    <xf numFmtId="0" fontId="48" fillId="0" borderId="0" xfId="0" applyFont="1" applyAlignment="1" applyProtection="1"/>
    <xf numFmtId="0" fontId="48" fillId="0" borderId="0" xfId="0" applyFont="1" applyProtection="1"/>
    <xf numFmtId="0" fontId="0" fillId="0" borderId="21" xfId="0" applyBorder="1" applyAlignment="1" applyProtection="1">
      <alignment horizontal="center"/>
    </xf>
    <xf numFmtId="0" fontId="0" fillId="0" borderId="22" xfId="0" applyBorder="1" applyAlignment="1" applyProtection="1"/>
    <xf numFmtId="0" fontId="0" fillId="0" borderId="21" xfId="0" applyBorder="1" applyProtection="1"/>
    <xf numFmtId="0" fontId="0" fillId="0" borderId="16" xfId="0" applyBorder="1" applyProtection="1"/>
    <xf numFmtId="0" fontId="0" fillId="0" borderId="23" xfId="0" applyBorder="1" applyProtection="1"/>
    <xf numFmtId="0" fontId="0" fillId="0" borderId="0" xfId="0" applyBorder="1" applyAlignment="1" applyProtection="1"/>
    <xf numFmtId="0" fontId="0" fillId="0" borderId="20" xfId="0" applyBorder="1" applyProtection="1"/>
    <xf numFmtId="0" fontId="0" fillId="0" borderId="24" xfId="0" applyBorder="1" applyProtection="1"/>
    <xf numFmtId="0" fontId="0" fillId="0" borderId="18" xfId="0" applyBorder="1" applyAlignment="1" applyProtection="1"/>
    <xf numFmtId="0" fontId="0" fillId="0" borderId="22" xfId="0" applyBorder="1" applyProtection="1"/>
    <xf numFmtId="0" fontId="0" fillId="0" borderId="0" xfId="0" applyBorder="1" applyProtection="1"/>
    <xf numFmtId="0" fontId="0" fillId="0" borderId="19" xfId="0" applyBorder="1" applyProtection="1"/>
    <xf numFmtId="0" fontId="0" fillId="0" borderId="18" xfId="0" applyBorder="1" applyProtection="1"/>
    <xf numFmtId="0" fontId="0" fillId="0" borderId="26" xfId="0" applyBorder="1" applyProtection="1"/>
    <xf numFmtId="0" fontId="0" fillId="0" borderId="27" xfId="0" applyBorder="1" applyProtection="1"/>
    <xf numFmtId="0" fontId="0" fillId="0" borderId="28" xfId="0" applyBorder="1" applyProtection="1"/>
    <xf numFmtId="0" fontId="0" fillId="0" borderId="29" xfId="0" applyBorder="1" applyProtection="1"/>
    <xf numFmtId="0" fontId="59" fillId="0" borderId="15" xfId="0" applyFont="1" applyBorder="1" applyAlignment="1" applyProtection="1">
      <alignment vertical="center" wrapText="1"/>
    </xf>
    <xf numFmtId="9" fontId="60" fillId="0" borderId="7" xfId="0" applyNumberFormat="1" applyFont="1" applyBorder="1" applyAlignment="1" applyProtection="1">
      <alignment vertical="center" wrapText="1"/>
    </xf>
    <xf numFmtId="0" fontId="0" fillId="0" borderId="1" xfId="0" applyBorder="1" applyProtection="1"/>
    <xf numFmtId="0" fontId="59" fillId="0" borderId="17" xfId="0" applyFont="1" applyBorder="1" applyAlignment="1" applyProtection="1">
      <alignment vertical="center" wrapText="1"/>
    </xf>
    <xf numFmtId="9" fontId="60" fillId="0" borderId="19" xfId="0" applyNumberFormat="1" applyFont="1" applyBorder="1" applyAlignment="1" applyProtection="1">
      <alignment vertical="center" wrapText="1"/>
    </xf>
    <xf numFmtId="9" fontId="59" fillId="0" borderId="19" xfId="0" applyNumberFormat="1" applyFont="1" applyBorder="1" applyAlignment="1" applyProtection="1">
      <alignment vertical="center" wrapText="1"/>
    </xf>
    <xf numFmtId="0" fontId="0" fillId="0" borderId="30" xfId="0" applyBorder="1" applyProtection="1"/>
    <xf numFmtId="0" fontId="0" fillId="0" borderId="31" xfId="0" applyFill="1" applyBorder="1" applyProtection="1"/>
    <xf numFmtId="0" fontId="59" fillId="0" borderId="0" xfId="0" applyFont="1" applyFill="1" applyBorder="1" applyAlignment="1" applyProtection="1">
      <alignment vertical="center" wrapText="1"/>
    </xf>
    <xf numFmtId="9" fontId="0" fillId="0" borderId="0" xfId="1" applyNumberFormat="1" applyFont="1" applyProtection="1"/>
    <xf numFmtId="9" fontId="59" fillId="0" borderId="6" xfId="0" applyNumberFormat="1" applyFont="1" applyBorder="1" applyAlignment="1" applyProtection="1">
      <alignment vertical="center" wrapText="1"/>
    </xf>
    <xf numFmtId="9" fontId="59" fillId="0" borderId="18" xfId="0" applyNumberFormat="1" applyFont="1" applyBorder="1" applyAlignment="1" applyProtection="1">
      <alignment vertical="center" wrapText="1"/>
    </xf>
    <xf numFmtId="9" fontId="0" fillId="0" borderId="1" xfId="0" applyNumberFormat="1" applyBorder="1" applyProtection="1"/>
    <xf numFmtId="0" fontId="3" fillId="2" borderId="0" xfId="0" applyFont="1" applyFill="1" applyAlignment="1" applyProtection="1">
      <alignment horizontal="left" vertical="top" wrapText="1"/>
      <protection hidden="1"/>
    </xf>
    <xf numFmtId="0" fontId="18" fillId="2" borderId="0" xfId="3" applyFont="1" applyFill="1" applyBorder="1" applyAlignment="1" applyProtection="1">
      <alignment horizontal="left" vertical="center"/>
      <protection hidden="1"/>
    </xf>
    <xf numFmtId="0" fontId="7" fillId="2" borderId="0" xfId="3" applyFont="1" applyFill="1" applyBorder="1" applyAlignment="1" applyProtection="1">
      <alignment horizontal="center" vertical="center"/>
      <protection hidden="1"/>
    </xf>
    <xf numFmtId="0" fontId="7" fillId="2" borderId="0" xfId="3" applyFont="1" applyFill="1" applyBorder="1" applyAlignment="1" applyProtection="1">
      <alignment horizontal="left" vertical="center"/>
      <protection hidden="1"/>
    </xf>
    <xf numFmtId="0" fontId="7" fillId="2" borderId="0" xfId="3" quotePrefix="1" applyFont="1" applyFill="1" applyBorder="1" applyAlignment="1" applyProtection="1">
      <alignment horizontal="left" vertical="center" wrapText="1"/>
      <protection hidden="1"/>
    </xf>
    <xf numFmtId="0" fontId="7" fillId="2" borderId="0" xfId="3" quotePrefix="1" applyFont="1" applyFill="1" applyBorder="1" applyAlignment="1" applyProtection="1">
      <alignment horizontal="left" vertical="center"/>
      <protection hidden="1"/>
    </xf>
    <xf numFmtId="0" fontId="10" fillId="2" borderId="0" xfId="3" applyFont="1" applyFill="1" applyBorder="1" applyAlignment="1" applyProtection="1">
      <alignment horizontal="left" vertical="center"/>
      <protection hidden="1"/>
    </xf>
    <xf numFmtId="0" fontId="10" fillId="2" borderId="0" xfId="3" applyFont="1" applyFill="1" applyBorder="1" applyAlignment="1" applyProtection="1">
      <alignment horizontal="left"/>
      <protection hidden="1"/>
    </xf>
    <xf numFmtId="0" fontId="10" fillId="2" borderId="0" xfId="3" applyFont="1" applyFill="1" applyAlignment="1" applyProtection="1">
      <alignment horizontal="left" vertical="center"/>
      <protection hidden="1"/>
    </xf>
    <xf numFmtId="0" fontId="39" fillId="5" borderId="0" xfId="3" applyFont="1" applyFill="1" applyAlignment="1" applyProtection="1">
      <alignment horizontal="left" vertical="center" wrapText="1"/>
      <protection hidden="1"/>
    </xf>
    <xf numFmtId="0" fontId="19" fillId="2" borderId="0" xfId="3" applyFont="1" applyFill="1" applyAlignment="1" applyProtection="1">
      <alignment horizontal="left" vertical="center"/>
      <protection hidden="1"/>
    </xf>
    <xf numFmtId="0" fontId="14" fillId="5" borderId="0" xfId="3" quotePrefix="1" applyFont="1" applyFill="1" applyBorder="1" applyAlignment="1" applyProtection="1">
      <alignment horizontal="left" vertical="center"/>
      <protection hidden="1"/>
    </xf>
    <xf numFmtId="0" fontId="0" fillId="5" borderId="0" xfId="0" applyFill="1" applyAlignment="1" applyProtection="1">
      <alignment horizontal="center" vertical="center"/>
      <protection hidden="1"/>
    </xf>
    <xf numFmtId="0" fontId="7" fillId="2" borderId="0" xfId="3" quotePrefix="1" applyFont="1" applyFill="1" applyBorder="1" applyAlignment="1" applyProtection="1">
      <alignment horizontal="left" vertical="center"/>
      <protection hidden="1"/>
    </xf>
    <xf numFmtId="0" fontId="10" fillId="2" borderId="0" xfId="3" applyFont="1" applyFill="1" applyBorder="1" applyAlignment="1" applyProtection="1">
      <alignment horizontal="left"/>
      <protection hidden="1"/>
    </xf>
    <xf numFmtId="0" fontId="41" fillId="2" borderId="0" xfId="3" applyFont="1" applyFill="1" applyAlignment="1" applyProtection="1">
      <alignment horizontal="center" vertical="center" wrapText="1"/>
      <protection hidden="1"/>
    </xf>
    <xf numFmtId="0" fontId="7" fillId="2" borderId="0" xfId="3" applyFont="1" applyFill="1" applyBorder="1" applyAlignment="1" applyProtection="1">
      <alignment horizontal="left" vertical="center"/>
      <protection hidden="1"/>
    </xf>
    <xf numFmtId="0" fontId="10" fillId="2" borderId="0" xfId="3" applyFont="1" applyFill="1" applyBorder="1" applyAlignment="1" applyProtection="1">
      <alignment horizontal="left" vertical="center"/>
      <protection hidden="1"/>
    </xf>
    <xf numFmtId="165" fontId="7" fillId="2" borderId="0" xfId="2" applyNumberFormat="1" applyFont="1" applyFill="1" applyBorder="1" applyAlignment="1" applyProtection="1">
      <alignment horizontal="center" vertical="center"/>
      <protection hidden="1"/>
    </xf>
    <xf numFmtId="0" fontId="7" fillId="2" borderId="0" xfId="3" applyFont="1" applyFill="1" applyBorder="1" applyAlignment="1" applyProtection="1">
      <alignment horizontal="center" vertical="center"/>
      <protection hidden="1"/>
    </xf>
    <xf numFmtId="0" fontId="7" fillId="2" borderId="0" xfId="3" quotePrefix="1" applyFont="1" applyFill="1" applyBorder="1" applyAlignment="1" applyProtection="1">
      <alignment horizontal="left" wrapText="1"/>
      <protection hidden="1"/>
    </xf>
    <xf numFmtId="0" fontId="7" fillId="2" borderId="0" xfId="3" quotePrefix="1" applyFont="1" applyFill="1" applyBorder="1" applyAlignment="1" applyProtection="1">
      <alignment horizontal="left" vertical="center" wrapText="1"/>
      <protection hidden="1"/>
    </xf>
    <xf numFmtId="0" fontId="3" fillId="2" borderId="0" xfId="0" applyFont="1" applyFill="1" applyAlignment="1" applyProtection="1">
      <alignment horizontal="left" vertical="center" wrapText="1"/>
      <protection hidden="1"/>
    </xf>
    <xf numFmtId="0" fontId="3" fillId="2" borderId="0" xfId="0" applyFont="1" applyFill="1" applyAlignment="1" applyProtection="1">
      <alignment horizontal="left" vertical="top" wrapText="1"/>
      <protection hidden="1"/>
    </xf>
    <xf numFmtId="0" fontId="31" fillId="2" borderId="0" xfId="0" applyFont="1" applyFill="1" applyAlignment="1" applyProtection="1">
      <alignment horizontal="left" vertical="center" wrapText="1"/>
      <protection hidden="1"/>
    </xf>
    <xf numFmtId="0" fontId="18" fillId="2" borderId="0" xfId="3" applyFont="1" applyFill="1" applyBorder="1" applyAlignment="1" applyProtection="1">
      <alignment horizontal="left" vertical="center"/>
      <protection hidden="1"/>
    </xf>
    <xf numFmtId="165" fontId="18" fillId="2" borderId="0" xfId="2" applyNumberFormat="1" applyFont="1" applyFill="1" applyBorder="1" applyAlignment="1" applyProtection="1">
      <alignment horizontal="center" vertical="center"/>
      <protection hidden="1"/>
    </xf>
    <xf numFmtId="0" fontId="7" fillId="2" borderId="0" xfId="3" applyFont="1" applyFill="1" applyBorder="1" applyAlignment="1" applyProtection="1">
      <alignment horizontal="left" vertical="center" wrapText="1"/>
      <protection hidden="1"/>
    </xf>
    <xf numFmtId="0" fontId="36" fillId="2" borderId="0" xfId="4" applyFont="1" applyFill="1" applyAlignment="1" applyProtection="1">
      <alignment horizontal="left" vertical="top" wrapText="1"/>
      <protection hidden="1"/>
    </xf>
    <xf numFmtId="0" fontId="41" fillId="2" borderId="0" xfId="3" applyFont="1" applyFill="1" applyAlignment="1" applyProtection="1">
      <alignment horizontal="left" vertical="center" wrapText="1"/>
      <protection hidden="1"/>
    </xf>
    <xf numFmtId="0" fontId="36" fillId="5" borderId="0" xfId="4" applyFont="1" applyFill="1" applyAlignment="1" applyProtection="1">
      <alignment horizontal="left" vertical="top" wrapText="1"/>
      <protection hidden="1"/>
    </xf>
    <xf numFmtId="0" fontId="19" fillId="2" borderId="0" xfId="3" applyFont="1" applyFill="1" applyAlignment="1" applyProtection="1">
      <alignment horizontal="left" vertical="center"/>
      <protection hidden="1"/>
    </xf>
    <xf numFmtId="0" fontId="39" fillId="5" borderId="0" xfId="3" applyFont="1" applyFill="1" applyAlignment="1" applyProtection="1">
      <alignment horizontal="left" vertical="center" wrapText="1"/>
      <protection hidden="1"/>
    </xf>
    <xf numFmtId="0" fontId="39" fillId="5" borderId="0" xfId="3" applyFont="1" applyFill="1" applyBorder="1" applyAlignment="1" applyProtection="1">
      <alignment horizontal="left" vertical="center" wrapText="1"/>
      <protection hidden="1"/>
    </xf>
    <xf numFmtId="3" fontId="20" fillId="3" borderId="1" xfId="2" applyNumberFormat="1" applyFont="1" applyFill="1" applyBorder="1" applyAlignment="1" applyProtection="1">
      <alignment horizontal="center" vertical="center"/>
      <protection locked="0" hidden="1"/>
    </xf>
    <xf numFmtId="0" fontId="20" fillId="3" borderId="1" xfId="3" applyFont="1" applyFill="1" applyBorder="1" applyAlignment="1" applyProtection="1">
      <alignment horizontal="center" vertical="center"/>
      <protection locked="0" hidden="1"/>
    </xf>
    <xf numFmtId="0" fontId="21" fillId="3" borderId="1" xfId="3" applyFont="1" applyFill="1" applyBorder="1" applyAlignment="1" applyProtection="1">
      <alignment horizontal="center" vertical="center"/>
      <protection locked="0" hidden="1"/>
    </xf>
    <xf numFmtId="0" fontId="54" fillId="5" borderId="0" xfId="0" applyFont="1" applyFill="1" applyBorder="1" applyAlignment="1" applyProtection="1">
      <alignment horizontal="center" vertical="center"/>
      <protection hidden="1"/>
    </xf>
    <xf numFmtId="1" fontId="20" fillId="5" borderId="0" xfId="1" applyNumberFormat="1" applyFont="1" applyFill="1" applyBorder="1" applyAlignment="1" applyProtection="1">
      <alignment horizontal="center" vertical="center"/>
      <protection hidden="1"/>
    </xf>
    <xf numFmtId="0" fontId="39" fillId="2" borderId="0" xfId="3" applyFont="1" applyFill="1" applyAlignment="1" applyProtection="1">
      <alignment horizontal="left" vertical="center"/>
      <protection hidden="1"/>
    </xf>
    <xf numFmtId="0" fontId="39" fillId="2" borderId="0" xfId="3" applyFont="1" applyFill="1" applyBorder="1" applyAlignment="1" applyProtection="1">
      <alignment horizontal="left" vertical="center"/>
      <protection hidden="1"/>
    </xf>
    <xf numFmtId="166" fontId="54" fillId="2" borderId="0" xfId="1" applyNumberFormat="1" applyFont="1" applyFill="1" applyBorder="1" applyAlignment="1" applyProtection="1">
      <alignment horizontal="center" vertical="center"/>
      <protection hidden="1"/>
    </xf>
    <xf numFmtId="0" fontId="27" fillId="2" borderId="0" xfId="4" applyFont="1" applyFill="1" applyProtection="1">
      <protection hidden="1"/>
    </xf>
    <xf numFmtId="0" fontId="6" fillId="2" borderId="0" xfId="4" applyFont="1" applyFill="1" applyAlignment="1" applyProtection="1">
      <alignment horizontal="center" vertical="center"/>
      <protection hidden="1"/>
    </xf>
    <xf numFmtId="0" fontId="10" fillId="2" borderId="0" xfId="3" applyFont="1" applyFill="1" applyAlignment="1" applyProtection="1">
      <alignment horizontal="left"/>
      <protection hidden="1"/>
    </xf>
    <xf numFmtId="0" fontId="20" fillId="3" borderId="1" xfId="1" applyNumberFormat="1" applyFont="1" applyFill="1" applyBorder="1" applyAlignment="1" applyProtection="1">
      <alignment horizontal="center" vertical="center"/>
      <protection locked="0" hidden="1"/>
    </xf>
    <xf numFmtId="0" fontId="10" fillId="2" borderId="0" xfId="3" applyFont="1" applyFill="1" applyAlignment="1" applyProtection="1">
      <alignment horizontal="left" vertical="center"/>
      <protection hidden="1"/>
    </xf>
    <xf numFmtId="0" fontId="20" fillId="5" borderId="0" xfId="3" applyFont="1" applyFill="1" applyBorder="1" applyAlignment="1" applyProtection="1">
      <alignment horizontal="center" vertical="center"/>
      <protection hidden="1"/>
    </xf>
    <xf numFmtId="0" fontId="21" fillId="3" borderId="2" xfId="3" applyFont="1" applyFill="1" applyBorder="1" applyAlignment="1" applyProtection="1">
      <alignment horizontal="center" vertical="center"/>
      <protection locked="0" hidden="1"/>
    </xf>
    <xf numFmtId="0" fontId="21" fillId="3" borderId="3" xfId="3" applyFont="1" applyFill="1" applyBorder="1" applyAlignment="1" applyProtection="1">
      <alignment horizontal="center" vertical="center"/>
      <protection locked="0" hidden="1"/>
    </xf>
    <xf numFmtId="0" fontId="14" fillId="5" borderId="0" xfId="3" quotePrefix="1" applyFont="1" applyFill="1" applyBorder="1" applyAlignment="1" applyProtection="1">
      <alignment horizontal="left" vertical="center"/>
      <protection hidden="1"/>
    </xf>
    <xf numFmtId="0" fontId="10" fillId="2" borderId="0" xfId="3" applyFont="1" applyFill="1" applyAlignment="1" applyProtection="1">
      <alignment horizontal="left" vertical="center" wrapText="1"/>
      <protection hidden="1"/>
    </xf>
    <xf numFmtId="0" fontId="18" fillId="5" borderId="6" xfId="3" applyFont="1" applyFill="1" applyBorder="1" applyAlignment="1" applyProtection="1">
      <alignment horizontal="left" vertical="center"/>
      <protection hidden="1"/>
    </xf>
    <xf numFmtId="0" fontId="7" fillId="5" borderId="0" xfId="3" applyFont="1" applyFill="1" applyBorder="1" applyAlignment="1" applyProtection="1">
      <alignment horizontal="center" vertical="center"/>
      <protection locked="0"/>
    </xf>
    <xf numFmtId="0" fontId="7" fillId="7" borderId="0" xfId="3" applyFont="1" applyFill="1" applyBorder="1" applyAlignment="1" applyProtection="1">
      <alignment horizontal="center" vertical="center"/>
      <protection hidden="1"/>
    </xf>
    <xf numFmtId="0" fontId="14" fillId="5" borderId="0" xfId="3" applyFont="1" applyFill="1" applyAlignment="1" applyProtection="1">
      <alignment horizontal="center" vertical="center"/>
      <protection hidden="1"/>
    </xf>
    <xf numFmtId="0" fontId="14" fillId="5" borderId="0" xfId="3" applyFont="1" applyFill="1" applyAlignment="1" applyProtection="1">
      <alignment horizontal="left" vertical="center" wrapText="1"/>
      <protection hidden="1"/>
    </xf>
    <xf numFmtId="0" fontId="7" fillId="5" borderId="0" xfId="3" applyFont="1" applyFill="1" applyAlignment="1" applyProtection="1">
      <alignment horizontal="left" vertical="center"/>
      <protection hidden="1"/>
    </xf>
    <xf numFmtId="0" fontId="7" fillId="5" borderId="4" xfId="3" applyFont="1" applyFill="1" applyBorder="1" applyAlignment="1" applyProtection="1">
      <alignment horizontal="left" vertical="center"/>
      <protection hidden="1"/>
    </xf>
    <xf numFmtId="0" fontId="7" fillId="5" borderId="0" xfId="3" applyFont="1" applyFill="1" applyBorder="1" applyAlignment="1" applyProtection="1">
      <alignment horizontal="center" vertical="center"/>
      <protection hidden="1"/>
    </xf>
    <xf numFmtId="0" fontId="7" fillId="3" borderId="1" xfId="3" applyFont="1" applyFill="1" applyBorder="1" applyAlignment="1" applyProtection="1">
      <alignment horizontal="center" vertical="center"/>
      <protection locked="0"/>
    </xf>
    <xf numFmtId="0" fontId="7" fillId="5" borderId="13" xfId="3" applyFont="1" applyFill="1" applyBorder="1" applyAlignment="1" applyProtection="1">
      <alignment horizontal="center" wrapText="1"/>
      <protection hidden="1"/>
    </xf>
    <xf numFmtId="0" fontId="7" fillId="5" borderId="0" xfId="3" applyFont="1" applyFill="1" applyBorder="1" applyAlignment="1" applyProtection="1">
      <alignment horizontal="center" vertical="center" wrapText="1"/>
      <protection hidden="1"/>
    </xf>
    <xf numFmtId="9" fontId="55" fillId="5" borderId="0" xfId="1" applyFont="1" applyFill="1" applyBorder="1" applyAlignment="1" applyProtection="1">
      <alignment horizontal="center" vertical="center"/>
      <protection locked="0"/>
    </xf>
    <xf numFmtId="10" fontId="45" fillId="5" borderId="0" xfId="1" applyNumberFormat="1" applyFont="1" applyFill="1" applyBorder="1" applyAlignment="1" applyProtection="1">
      <alignment horizontal="center" vertical="center"/>
      <protection hidden="1"/>
    </xf>
    <xf numFmtId="9" fontId="45" fillId="7" borderId="1" xfId="3" applyNumberFormat="1" applyFont="1" applyFill="1" applyBorder="1" applyAlignment="1" applyProtection="1">
      <alignment horizontal="center" vertical="center"/>
      <protection hidden="1"/>
    </xf>
    <xf numFmtId="0" fontId="14" fillId="5" borderId="13" xfId="3" applyFont="1" applyFill="1" applyBorder="1" applyAlignment="1" applyProtection="1">
      <alignment horizontal="center" vertical="center" wrapText="1"/>
      <protection hidden="1"/>
    </xf>
    <xf numFmtId="0" fontId="45" fillId="5" borderId="0" xfId="3" applyFont="1" applyFill="1" applyAlignment="1" applyProtection="1">
      <alignment horizontal="left" vertical="center" wrapText="1"/>
      <protection hidden="1"/>
    </xf>
    <xf numFmtId="0" fontId="45" fillId="5" borderId="4" xfId="3" applyFont="1" applyFill="1" applyBorder="1" applyAlignment="1" applyProtection="1">
      <alignment horizontal="left" vertical="center" wrapText="1"/>
      <protection hidden="1"/>
    </xf>
    <xf numFmtId="0" fontId="13" fillId="5" borderId="0" xfId="3" applyFont="1" applyFill="1" applyAlignment="1" applyProtection="1">
      <alignment horizontal="left" vertical="center"/>
      <protection hidden="1"/>
    </xf>
    <xf numFmtId="0" fontId="13" fillId="5" borderId="0" xfId="3" applyFont="1" applyFill="1" applyBorder="1" applyAlignment="1" applyProtection="1">
      <alignment horizontal="left" vertical="center"/>
      <protection hidden="1"/>
    </xf>
    <xf numFmtId="0" fontId="14" fillId="5" borderId="0" xfId="3" applyFont="1" applyFill="1" applyBorder="1" applyAlignment="1" applyProtection="1">
      <alignment horizontal="center" vertical="center" wrapText="1"/>
      <protection hidden="1"/>
    </xf>
    <xf numFmtId="0" fontId="14" fillId="5" borderId="0" xfId="3" applyFont="1" applyFill="1" applyAlignment="1" applyProtection="1">
      <alignment horizontal="left" vertical="center"/>
    </xf>
    <xf numFmtId="0" fontId="14" fillId="5" borderId="4" xfId="3" applyFont="1" applyFill="1" applyBorder="1" applyAlignment="1" applyProtection="1">
      <alignment horizontal="left" vertical="center"/>
    </xf>
    <xf numFmtId="0" fontId="65" fillId="2" borderId="0" xfId="0" applyFont="1" applyFill="1" applyBorder="1" applyAlignment="1" applyProtection="1">
      <alignment horizontal="left"/>
      <protection hidden="1"/>
    </xf>
    <xf numFmtId="0" fontId="0" fillId="3" borderId="2" xfId="0" applyFill="1" applyBorder="1" applyAlignment="1" applyProtection="1">
      <alignment horizontal="center" vertical="center"/>
      <protection locked="0" hidden="1"/>
    </xf>
    <xf numFmtId="0" fontId="0" fillId="3" borderId="3" xfId="0" applyFill="1" applyBorder="1" applyAlignment="1" applyProtection="1">
      <alignment horizontal="center" vertical="center"/>
      <protection locked="0" hidden="1"/>
    </xf>
    <xf numFmtId="0" fontId="0" fillId="5" borderId="13" xfId="0" applyFill="1" applyBorder="1" applyAlignment="1" applyProtection="1">
      <alignment horizontal="center" vertical="center"/>
      <protection hidden="1"/>
    </xf>
    <xf numFmtId="0" fontId="0" fillId="5" borderId="0" xfId="0" applyFill="1" applyAlignment="1" applyProtection="1">
      <alignment horizontal="center" vertical="center"/>
      <protection hidden="1"/>
    </xf>
    <xf numFmtId="0" fontId="0" fillId="3" borderId="1" xfId="0" applyFill="1" applyBorder="1" applyAlignment="1" applyProtection="1">
      <alignment horizontal="center" vertical="center"/>
      <protection locked="0" hidden="1"/>
    </xf>
    <xf numFmtId="0" fontId="0" fillId="7" borderId="2" xfId="0" applyFill="1" applyBorder="1" applyAlignment="1" applyProtection="1">
      <alignment horizontal="center" vertical="center"/>
      <protection hidden="1"/>
    </xf>
    <xf numFmtId="0" fontId="0" fillId="7" borderId="3" xfId="0" applyFill="1" applyBorder="1" applyAlignment="1" applyProtection="1">
      <alignment horizontal="center" vertical="center"/>
      <protection hidden="1"/>
    </xf>
    <xf numFmtId="2" fontId="0" fillId="3" borderId="2" xfId="0" applyNumberFormat="1" applyFill="1" applyBorder="1" applyAlignment="1" applyProtection="1">
      <alignment horizontal="center" vertical="center"/>
      <protection locked="0" hidden="1"/>
    </xf>
    <xf numFmtId="2" fontId="0" fillId="3" borderId="3" xfId="0" applyNumberFormat="1" applyFill="1" applyBorder="1" applyAlignment="1" applyProtection="1">
      <alignment horizontal="center" vertical="center"/>
      <protection locked="0" hidden="1"/>
    </xf>
    <xf numFmtId="0" fontId="0" fillId="7" borderId="1" xfId="0" applyFill="1" applyBorder="1" applyAlignment="1" applyProtection="1">
      <alignment horizontal="center" vertical="center"/>
      <protection hidden="1"/>
    </xf>
    <xf numFmtId="164" fontId="22" fillId="0" borderId="9" xfId="2" applyFont="1" applyBorder="1" applyAlignment="1" applyProtection="1">
      <alignment horizontal="center" vertical="center"/>
      <protection hidden="1"/>
    </xf>
    <xf numFmtId="164" fontId="22" fillId="0" borderId="8" xfId="2" applyFont="1" applyBorder="1" applyAlignment="1" applyProtection="1">
      <alignment horizontal="center" vertical="center"/>
      <protection hidden="1"/>
    </xf>
    <xf numFmtId="0" fontId="48" fillId="0" borderId="0" xfId="0" applyFont="1" applyAlignment="1" applyProtection="1">
      <alignment horizontal="center"/>
    </xf>
    <xf numFmtId="0" fontId="46" fillId="0" borderId="0" xfId="0" applyFont="1" applyAlignment="1">
      <alignment horizontal="center"/>
    </xf>
    <xf numFmtId="0" fontId="48" fillId="0" borderId="0" xfId="0" applyFont="1" applyAlignment="1">
      <alignment horizontal="center"/>
    </xf>
    <xf numFmtId="0" fontId="7" fillId="11" borderId="1" xfId="3" applyFont="1" applyFill="1" applyBorder="1" applyAlignment="1" applyProtection="1">
      <alignment horizontal="center" vertical="center" wrapText="1"/>
    </xf>
    <xf numFmtId="0" fontId="14" fillId="11" borderId="1" xfId="3" applyFont="1" applyFill="1" applyBorder="1" applyAlignment="1" applyProtection="1">
      <alignment horizontal="center" vertical="center"/>
    </xf>
    <xf numFmtId="0" fontId="0" fillId="0" borderId="22" xfId="0" applyBorder="1" applyAlignment="1" applyProtection="1">
      <alignment horizontal="center"/>
    </xf>
    <xf numFmtId="0" fontId="0" fillId="0" borderId="16" xfId="0" applyBorder="1" applyAlignment="1" applyProtection="1">
      <alignment horizontal="center"/>
    </xf>
    <xf numFmtId="0" fontId="0" fillId="0" borderId="0" xfId="0" applyBorder="1" applyAlignment="1" applyProtection="1">
      <alignment horizontal="center"/>
    </xf>
    <xf numFmtId="0" fontId="0" fillId="0" borderId="20" xfId="0" applyBorder="1" applyAlignment="1" applyProtection="1">
      <alignment horizontal="center"/>
    </xf>
    <xf numFmtId="0" fontId="0" fillId="0" borderId="18" xfId="0" applyBorder="1" applyAlignment="1" applyProtection="1">
      <alignment horizontal="center"/>
    </xf>
    <xf numFmtId="0" fontId="0" fillId="0" borderId="19" xfId="0" applyBorder="1" applyAlignment="1" applyProtection="1">
      <alignment horizontal="center"/>
    </xf>
    <xf numFmtId="0" fontId="14" fillId="11" borderId="0" xfId="3" applyFont="1" applyFill="1" applyAlignment="1" applyProtection="1">
      <alignment horizontal="center" vertical="center" wrapText="1"/>
    </xf>
    <xf numFmtId="165" fontId="14" fillId="11" borderId="0" xfId="2" applyNumberFormat="1" applyFont="1" applyFill="1" applyBorder="1" applyAlignment="1" applyProtection="1">
      <alignment horizontal="center" vertical="center"/>
    </xf>
    <xf numFmtId="0" fontId="0" fillId="0" borderId="22" xfId="0" applyBorder="1" applyAlignment="1">
      <alignment horizontal="center"/>
    </xf>
    <xf numFmtId="0" fontId="0" fillId="0" borderId="16" xfId="0"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2" fillId="5" borderId="0" xfId="3" applyFont="1" applyFill="1" applyAlignment="1" applyProtection="1">
      <alignment horizontal="center" vertical="center"/>
      <protection hidden="1"/>
    </xf>
    <xf numFmtId="0" fontId="2" fillId="5" borderId="0" xfId="3" quotePrefix="1" applyFont="1" applyFill="1" applyAlignment="1" applyProtection="1">
      <alignment vertical="center"/>
      <protection hidden="1"/>
    </xf>
    <xf numFmtId="0" fontId="62" fillId="5" borderId="0" xfId="3" quotePrefix="1" applyFont="1" applyFill="1" applyAlignment="1" applyProtection="1">
      <alignment horizontal="left" vertical="center"/>
      <protection hidden="1"/>
    </xf>
    <xf numFmtId="0" fontId="2" fillId="5" borderId="0" xfId="3" quotePrefix="1" applyFont="1" applyFill="1" applyAlignment="1" applyProtection="1">
      <alignment horizontal="left" vertical="center"/>
      <protection hidden="1"/>
    </xf>
    <xf numFmtId="0" fontId="2" fillId="3" borderId="1" xfId="3" applyFont="1" applyFill="1" applyBorder="1" applyAlignment="1" applyProtection="1">
      <alignment horizontal="center" vertical="center"/>
      <protection locked="0" hidden="1"/>
    </xf>
    <xf numFmtId="0" fontId="72" fillId="5" borderId="0" xfId="3" applyFont="1" applyFill="1" applyAlignment="1" applyProtection="1">
      <alignment horizontal="center" vertical="center"/>
      <protection hidden="1"/>
    </xf>
    <xf numFmtId="0" fontId="64" fillId="5" borderId="0" xfId="3" applyFont="1" applyFill="1" applyAlignment="1" applyProtection="1">
      <alignment horizontal="left" vertical="center"/>
      <protection hidden="1"/>
    </xf>
    <xf numFmtId="0" fontId="73" fillId="5" borderId="0" xfId="3" applyFont="1" applyFill="1" applyAlignment="1" applyProtection="1">
      <alignment horizontal="left" vertical="center"/>
      <protection hidden="1"/>
    </xf>
    <xf numFmtId="0" fontId="62" fillId="5" borderId="0" xfId="3" applyFont="1" applyFill="1" applyAlignment="1" applyProtection="1">
      <alignment horizontal="left" vertical="center"/>
      <protection hidden="1"/>
    </xf>
    <xf numFmtId="0" fontId="62" fillId="5" borderId="4" xfId="3" applyFont="1" applyFill="1" applyBorder="1" applyAlignment="1" applyProtection="1">
      <alignment horizontal="left" vertical="center"/>
      <protection hidden="1"/>
    </xf>
    <xf numFmtId="0" fontId="2" fillId="5" borderId="0" xfId="3" applyFont="1" applyFill="1" applyAlignment="1" applyProtection="1">
      <alignment horizontal="left" vertical="center" wrapText="1"/>
      <protection hidden="1"/>
    </xf>
    <xf numFmtId="0" fontId="2" fillId="5" borderId="0" xfId="3" applyFont="1" applyFill="1" applyBorder="1" applyAlignment="1" applyProtection="1">
      <alignment horizontal="left" vertical="center" wrapText="1"/>
      <protection hidden="1"/>
    </xf>
    <xf numFmtId="0" fontId="30" fillId="5" borderId="0" xfId="1" applyNumberFormat="1" applyFont="1" applyFill="1" applyBorder="1" applyAlignment="1" applyProtection="1">
      <alignment horizontal="center" vertical="center"/>
      <protection hidden="1"/>
    </xf>
    <xf numFmtId="0" fontId="2" fillId="5" borderId="0" xfId="1" applyNumberFormat="1" applyFont="1" applyFill="1" applyBorder="1" applyAlignment="1" applyProtection="1">
      <alignment horizontal="left" vertical="center"/>
      <protection hidden="1"/>
    </xf>
    <xf numFmtId="0" fontId="2" fillId="5" borderId="0" xfId="3" applyFont="1" applyFill="1" applyAlignment="1" applyProtection="1">
      <alignment horizontal="left" vertical="center" wrapText="1"/>
      <protection hidden="1"/>
    </xf>
    <xf numFmtId="0" fontId="2" fillId="5" borderId="0" xfId="3" applyFont="1" applyFill="1" applyBorder="1" applyAlignment="1" applyProtection="1">
      <alignment horizontal="left" vertical="center" wrapText="1"/>
      <protection hidden="1"/>
    </xf>
    <xf numFmtId="0" fontId="62" fillId="5" borderId="0" xfId="3" applyFont="1" applyFill="1" applyAlignment="1" applyProtection="1">
      <alignment horizontal="center" vertical="center"/>
      <protection hidden="1"/>
    </xf>
    <xf numFmtId="0" fontId="2" fillId="5" borderId="0" xfId="3" quotePrefix="1" applyFont="1" applyFill="1" applyBorder="1" applyAlignment="1" applyProtection="1">
      <alignment horizontal="left" vertical="center"/>
      <protection hidden="1"/>
    </xf>
    <xf numFmtId="0" fontId="62" fillId="5" borderId="0" xfId="3" applyFont="1" applyFill="1" applyAlignment="1" applyProtection="1">
      <alignment horizontal="left" vertical="center"/>
      <protection hidden="1"/>
    </xf>
    <xf numFmtId="0" fontId="62" fillId="5" borderId="0" xfId="3" applyFont="1" applyFill="1" applyBorder="1" applyAlignment="1" applyProtection="1">
      <alignment horizontal="left" vertical="center"/>
      <protection hidden="1"/>
    </xf>
    <xf numFmtId="0" fontId="64" fillId="5" borderId="0" xfId="3" applyFont="1" applyFill="1" applyAlignment="1" applyProtection="1">
      <alignment horizontal="center" vertical="center"/>
      <protection hidden="1"/>
    </xf>
    <xf numFmtId="0" fontId="64" fillId="5" borderId="0" xfId="3" applyFont="1" applyFill="1" applyProtection="1">
      <protection hidden="1"/>
    </xf>
    <xf numFmtId="0" fontId="2" fillId="5" borderId="0" xfId="3" applyFont="1" applyFill="1" applyProtection="1">
      <protection hidden="1"/>
    </xf>
    <xf numFmtId="0" fontId="2" fillId="5" borderId="0" xfId="3" applyFont="1" applyFill="1" applyAlignment="1" applyProtection="1">
      <alignment horizontal="left" vertical="center"/>
      <protection hidden="1"/>
    </xf>
    <xf numFmtId="0" fontId="2" fillId="5" borderId="0" xfId="3" applyFont="1" applyFill="1" applyBorder="1" applyAlignment="1" applyProtection="1">
      <alignment horizontal="left" vertical="center"/>
      <protection hidden="1"/>
    </xf>
    <xf numFmtId="0" fontId="2" fillId="5" borderId="0" xfId="3" applyFont="1" applyFill="1" applyAlignment="1" applyProtection="1">
      <alignment horizontal="left" vertical="center"/>
      <protection hidden="1"/>
    </xf>
    <xf numFmtId="0" fontId="71" fillId="5" borderId="0" xfId="3" applyFont="1" applyFill="1" applyBorder="1" applyAlignment="1" applyProtection="1">
      <alignment horizontal="left" vertical="center"/>
      <protection hidden="1"/>
    </xf>
    <xf numFmtId="2" fontId="62" fillId="5" borderId="0" xfId="2" applyNumberFormat="1" applyFont="1" applyFill="1" applyAlignment="1" applyProtection="1">
      <alignment horizontal="center" vertical="center"/>
      <protection hidden="1"/>
    </xf>
    <xf numFmtId="0" fontId="2" fillId="5" borderId="0" xfId="0" applyFont="1" applyFill="1" applyAlignment="1" applyProtection="1">
      <alignment horizontal="left" vertical="center"/>
      <protection hidden="1"/>
    </xf>
    <xf numFmtId="0" fontId="2" fillId="5" borderId="0" xfId="3" quotePrefix="1" applyFont="1" applyFill="1" applyAlignment="1" applyProtection="1">
      <alignment horizontal="left" vertical="center" wrapText="1"/>
      <protection hidden="1"/>
    </xf>
    <xf numFmtId="0" fontId="2" fillId="5" borderId="0" xfId="0" applyFont="1" applyFill="1" applyAlignment="1" applyProtection="1">
      <alignment horizontal="center" vertical="center"/>
      <protection hidden="1"/>
    </xf>
    <xf numFmtId="0" fontId="64" fillId="5" borderId="5" xfId="3" applyFont="1" applyFill="1" applyBorder="1" applyAlignment="1" applyProtection="1">
      <alignment horizontal="left" vertical="center"/>
      <protection hidden="1"/>
    </xf>
    <xf numFmtId="0" fontId="64" fillId="5" borderId="6" xfId="3" applyFont="1" applyFill="1" applyBorder="1" applyAlignment="1" applyProtection="1">
      <alignment horizontal="left" vertical="center"/>
      <protection hidden="1"/>
    </xf>
    <xf numFmtId="2" fontId="64" fillId="5" borderId="6" xfId="2" applyNumberFormat="1" applyFont="1" applyFill="1" applyBorder="1" applyAlignment="1" applyProtection="1">
      <alignment horizontal="center" vertical="center"/>
      <protection hidden="1"/>
    </xf>
    <xf numFmtId="0" fontId="64" fillId="5" borderId="7" xfId="3" applyFont="1" applyFill="1" applyBorder="1" applyAlignment="1" applyProtection="1">
      <alignment horizontal="center" vertical="center"/>
      <protection hidden="1"/>
    </xf>
    <xf numFmtId="0" fontId="62" fillId="5" borderId="0" xfId="3" quotePrefix="1" applyFont="1" applyFill="1" applyBorder="1" applyAlignment="1" applyProtection="1">
      <alignment vertical="center"/>
      <protection hidden="1"/>
    </xf>
    <xf numFmtId="0" fontId="55" fillId="5" borderId="0" xfId="3" applyFont="1" applyFill="1" applyAlignment="1" applyProtection="1">
      <alignment horizontal="center" vertical="center"/>
      <protection hidden="1"/>
    </xf>
    <xf numFmtId="0" fontId="62" fillId="5" borderId="0" xfId="3" quotePrefix="1" applyFont="1" applyFill="1" applyBorder="1" applyAlignment="1" applyProtection="1">
      <alignment horizontal="left" vertical="center"/>
      <protection hidden="1"/>
    </xf>
    <xf numFmtId="0" fontId="16" fillId="2" borderId="0" xfId="3" applyFont="1" applyFill="1" applyAlignment="1" applyProtection="1">
      <alignment horizontal="center" vertical="center"/>
      <protection hidden="1"/>
    </xf>
    <xf numFmtId="0" fontId="61" fillId="5" borderId="6" xfId="0" applyFont="1" applyFill="1" applyBorder="1" applyProtection="1">
      <protection hidden="1"/>
    </xf>
    <xf numFmtId="0" fontId="64" fillId="5" borderId="0" xfId="0" applyFont="1" applyFill="1" applyAlignment="1" applyProtection="1">
      <alignment horizontal="center"/>
      <protection hidden="1"/>
    </xf>
    <xf numFmtId="0" fontId="64" fillId="5" borderId="0" xfId="0" applyFont="1" applyFill="1" applyAlignment="1" applyProtection="1">
      <alignment horizontal="center" vertical="center"/>
      <protection hidden="1"/>
    </xf>
    <xf numFmtId="0" fontId="64" fillId="5" borderId="7" xfId="0" applyFont="1" applyFill="1" applyBorder="1" applyAlignment="1" applyProtection="1">
      <alignment horizontal="right"/>
      <protection hidden="1"/>
    </xf>
  </cellXfs>
  <cellStyles count="5">
    <cellStyle name="Komma" xfId="2" builtinId="3"/>
    <cellStyle name="Link" xfId="4" builtinId="8"/>
    <cellStyle name="Normal" xfId="0" builtinId="0"/>
    <cellStyle name="Normal 2" xfId="3" xr:uid="{00000000-0005-0000-0000-000003000000}"/>
    <cellStyle name="Procent" xfId="1" builtinId="5"/>
  </cellStyles>
  <dxfs count="54">
    <dxf>
      <font>
        <color theme="9" tint="0.59996337778862885"/>
      </font>
    </dxf>
    <dxf>
      <font>
        <color auto="1"/>
      </font>
      <fill>
        <patternFill>
          <bgColor theme="9" tint="0.59996337778862885"/>
        </patternFill>
      </fill>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style="thin">
          <color auto="1"/>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style="thin">
          <color auto="1"/>
        </right>
        <top style="thin">
          <color auto="1"/>
        </top>
        <bottom style="thin">
          <color auto="1"/>
        </bottom>
        <vertical/>
        <horizontal/>
      </border>
    </dxf>
    <dxf>
      <fill>
        <patternFill>
          <bgColor theme="9" tint="0.59996337778862885"/>
        </patternFill>
      </fill>
      <border>
        <left style="thin">
          <color auto="1"/>
        </left>
        <right/>
        <top/>
        <bottom/>
        <vertical/>
        <horizontal/>
      </border>
    </dxf>
    <dxf>
      <fill>
        <patternFill>
          <bgColor theme="9" tint="0.59996337778862885"/>
        </patternFill>
      </fill>
      <border>
        <left style="thin">
          <color auto="1"/>
        </left>
        <right/>
        <top/>
        <bottom/>
        <vertical/>
        <horizontal/>
      </border>
    </dxf>
    <dxf>
      <font>
        <color theme="9" tint="0.59996337778862885"/>
      </font>
      <fill>
        <patternFill>
          <bgColor theme="9" tint="0.59996337778862885"/>
        </patternFill>
      </fill>
      <border>
        <left style="thin">
          <color auto="1"/>
        </left>
        <right/>
        <top/>
        <bottom/>
        <vertical/>
        <horizontal/>
      </border>
    </dxf>
    <dxf>
      <font>
        <color theme="9" tint="0.59996337778862885"/>
      </font>
      <fill>
        <patternFill>
          <bgColor theme="9" tint="0.59996337778862885"/>
        </patternFill>
      </fill>
      <border>
        <left style="thin">
          <color auto="1"/>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auto="1"/>
      </font>
      <fill>
        <patternFill>
          <bgColor theme="0" tint="-0.14996795556505021"/>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style="thin">
          <color auto="1"/>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b/>
        <i val="0"/>
      </font>
      <fill>
        <patternFill>
          <bgColor theme="9" tint="0.59996337778862885"/>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9" tint="0.59996337778862885"/>
        </patternFill>
      </fill>
      <border>
        <left/>
        <right/>
        <top/>
        <bottom/>
        <vertical/>
        <horizontal/>
      </border>
    </dxf>
    <dxf>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9" tint="0.59996337778862885"/>
        </patternFill>
      </fill>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style="thin">
          <color auto="1"/>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7</xdr:col>
      <xdr:colOff>526224</xdr:colOff>
      <xdr:row>14</xdr:row>
      <xdr:rowOff>114300</xdr:rowOff>
    </xdr:from>
    <xdr:to>
      <xdr:col>9</xdr:col>
      <xdr:colOff>139756</xdr:colOff>
      <xdr:row>18</xdr:row>
      <xdr:rowOff>139976</xdr:rowOff>
    </xdr:to>
    <xdr:pic>
      <xdr:nvPicPr>
        <xdr:cNvPr id="3"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04524" y="2413000"/>
          <a:ext cx="893057" cy="686076"/>
        </a:xfrm>
        <a:prstGeom prst="rect">
          <a:avLst/>
        </a:prstGeom>
      </xdr:spPr>
    </xdr:pic>
    <xdr:clientData/>
  </xdr:twoCellAnchor>
  <xdr:twoCellAnchor editAs="oneCell">
    <xdr:from>
      <xdr:col>3</xdr:col>
      <xdr:colOff>759653</xdr:colOff>
      <xdr:row>15</xdr:row>
      <xdr:rowOff>28576</xdr:rowOff>
    </xdr:from>
    <xdr:to>
      <xdr:col>4</xdr:col>
      <xdr:colOff>818484</xdr:colOff>
      <xdr:row>19</xdr:row>
      <xdr:rowOff>16153</xdr:rowOff>
    </xdr:to>
    <xdr:pic>
      <xdr:nvPicPr>
        <xdr:cNvPr id="4" name="Picture 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12178" y="2486026"/>
          <a:ext cx="820831" cy="701952"/>
        </a:xfrm>
        <a:prstGeom prst="rect">
          <a:avLst/>
        </a:prstGeom>
      </xdr:spPr>
    </xdr:pic>
    <xdr:clientData/>
  </xdr:twoCellAnchor>
  <xdr:twoCellAnchor editAs="oneCell">
    <xdr:from>
      <xdr:col>13</xdr:col>
      <xdr:colOff>304800</xdr:colOff>
      <xdr:row>1</xdr:row>
      <xdr:rowOff>123825</xdr:rowOff>
    </xdr:from>
    <xdr:to>
      <xdr:col>15</xdr:col>
      <xdr:colOff>678313</xdr:colOff>
      <xdr:row>4</xdr:row>
      <xdr:rowOff>9525</xdr:rowOff>
    </xdr:to>
    <xdr:pic>
      <xdr:nvPicPr>
        <xdr:cNvPr id="6" name="Billede 5">
          <a:extLst>
            <a:ext uri="{FF2B5EF4-FFF2-40B4-BE49-F238E27FC236}">
              <a16:creationId xmlns:a16="http://schemas.microsoft.com/office/drawing/2014/main" id="{9CE53A6B-2C3D-4B1F-9455-3F48A4E4DF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524750" y="209550"/>
          <a:ext cx="1716538" cy="590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504825</xdr:colOff>
      <xdr:row>1</xdr:row>
      <xdr:rowOff>28575</xdr:rowOff>
    </xdr:from>
    <xdr:to>
      <xdr:col>14</xdr:col>
      <xdr:colOff>630688</xdr:colOff>
      <xdr:row>3</xdr:row>
      <xdr:rowOff>38100</xdr:rowOff>
    </xdr:to>
    <xdr:pic>
      <xdr:nvPicPr>
        <xdr:cNvPr id="4" name="Billede 3">
          <a:extLst>
            <a:ext uri="{FF2B5EF4-FFF2-40B4-BE49-F238E27FC236}">
              <a16:creationId xmlns:a16="http://schemas.microsoft.com/office/drawing/2014/main" id="{E9219A29-97F5-4D36-B235-DD5BFA5238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2425" y="180975"/>
          <a:ext cx="1716538" cy="59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33617</xdr:colOff>
      <xdr:row>15</xdr:row>
      <xdr:rowOff>17554</xdr:rowOff>
    </xdr:from>
    <xdr:to>
      <xdr:col>16</xdr:col>
      <xdr:colOff>0</xdr:colOff>
      <xdr:row>43</xdr:row>
      <xdr:rowOff>10585</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2490200" y="3287804"/>
          <a:ext cx="5310967" cy="6385364"/>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Dokumentationskrav ved ansøgning om tilskud: </a:t>
          </a:r>
        </a:p>
        <a:p>
          <a:endParaRPr lang="da-DK">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Effekten på kedel/ kalorifer/ strålevarmer dokumenteres, eksempelvis gennem et billede af mærkepladen.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En redegørelse for, at projektet er omfatte af standardløsningen. D</a:t>
          </a:r>
          <a:r>
            <a:rPr lang="da-DK" sz="1100" baseline="0">
              <a:solidFill>
                <a:schemeClr val="dk1"/>
              </a:solidFill>
              <a:effectLst/>
              <a:latin typeface="+mn-lt"/>
              <a:ea typeface="+mn-ea"/>
              <a:cs typeface="+mn-cs"/>
            </a:rPr>
            <a:t>vs. at du enten benytter eget produceret brændsel, eller at det fakturerede forbrug ikke med sikkerhed begrænser sig til før-forbruget.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baseline="0">
              <a:solidFill>
                <a:schemeClr val="dk1"/>
              </a:solidFill>
              <a:effectLst/>
              <a:latin typeface="+mn-lt"/>
              <a:ea typeface="+mn-ea"/>
              <a:cs typeface="+mn-cs"/>
            </a:rPr>
            <a:t>Faktura for brændsel, såfremt projektet omhandler en delmængde af et faktureret forbrug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BBR meddelsen på ansøgningstidspunktet.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Budget over de forventede støtteberettigede omkostninger for projektet. Budgettet kan udfyldes i Energistyrelsens budgetskabelon, som findes på  </a:t>
          </a:r>
          <a:r>
            <a:rPr lang="da-DK" sz="1100" u="sng">
              <a:solidFill>
                <a:schemeClr val="dk1"/>
              </a:solidFill>
              <a:effectLst/>
              <a:latin typeface="+mn-lt"/>
              <a:ea typeface="+mn-ea"/>
              <a:cs typeface="+mn-cs"/>
            </a:rPr>
            <a:t>sparenergi.dk/erhvervspuljen</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endParaRPr lang="da-DK" sz="1100">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r>
            <a:rPr lang="da-DK" sz="1100" b="1" i="1">
              <a:solidFill>
                <a:schemeClr val="dk1"/>
              </a:solidFill>
              <a:effectLst/>
              <a:latin typeface="+mn-lt"/>
              <a:ea typeface="+mn-ea"/>
              <a:cs typeface="+mn-cs"/>
            </a:rPr>
            <a:t>Dokumentationskrav ved ansøgning om udbetaling:</a:t>
          </a:r>
          <a:endParaRPr lang="da-DK" sz="1100" b="1" i="0" u="none" strike="noStrike">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for dit nye anlæg herunder effekten af den nye varmeforsyning. </a:t>
          </a:r>
          <a:r>
            <a:rPr lang="da-DK"/>
            <a:t>Det kan f.eks. være et billede af mærkepladen, hvor effekt fremgår, eller en ordrebekræftelse/faktura, hvor oplysninger om anlægget fremgår.</a:t>
          </a:r>
          <a:endParaRPr lang="da-DK" sz="1100">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2.5.1 </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i  ”Vejledning til ansøgning om tilskud til energibesparelser”.</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800">
            <a:effectLst/>
          </a:endParaRPr>
        </a:p>
        <a:p>
          <a:pPr eaLnBrk="1" fontAlgn="auto" latinLnBrk="0" hangingPunct="1"/>
          <a:r>
            <a:rPr lang="da-DK" sz="1100" b="1" i="0">
              <a:solidFill>
                <a:schemeClr val="dk1"/>
              </a:solidFill>
              <a:effectLst/>
              <a:latin typeface="+mn-lt"/>
              <a:ea typeface="+mn-ea"/>
              <a:cs typeface="+mn-cs"/>
            </a:rPr>
            <a:t>Yderligere</a:t>
          </a:r>
          <a:r>
            <a:rPr lang="da-DK" sz="1100" b="1" i="0" baseline="0">
              <a:solidFill>
                <a:schemeClr val="dk1"/>
              </a:solidFill>
              <a:effectLst/>
              <a:latin typeface="+mn-lt"/>
              <a:ea typeface="+mn-ea"/>
              <a:cs typeface="+mn-cs"/>
            </a:rPr>
            <a:t> vejledning henvises til vejledning kap. 3.3</a:t>
          </a:r>
          <a:endParaRPr lang="da-DK" sz="600" b="1" i="1">
            <a:solidFill>
              <a:schemeClr val="dk1"/>
            </a:solidFill>
            <a:effectLst/>
            <a:latin typeface="+mn-lt"/>
            <a:ea typeface="+mn-ea"/>
            <a:cs typeface="+mn-cs"/>
          </a:endParaRPr>
        </a:p>
        <a:p>
          <a:endParaRPr lang="da-DK" sz="600" b="1" i="1">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effectLst/>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xdr:txBody>
    </xdr:sp>
    <xdr:clientData/>
  </xdr:twoCellAnchor>
  <xdr:twoCellAnchor editAs="oneCell">
    <xdr:from>
      <xdr:col>15</xdr:col>
      <xdr:colOff>142875</xdr:colOff>
      <xdr:row>0</xdr:row>
      <xdr:rowOff>180975</xdr:rowOff>
    </xdr:from>
    <xdr:to>
      <xdr:col>16</xdr:col>
      <xdr:colOff>1021213</xdr:colOff>
      <xdr:row>3</xdr:row>
      <xdr:rowOff>200025</xdr:rowOff>
    </xdr:to>
    <xdr:pic>
      <xdr:nvPicPr>
        <xdr:cNvPr id="5" name="Billede 4">
          <a:extLst>
            <a:ext uri="{FF2B5EF4-FFF2-40B4-BE49-F238E27FC236}">
              <a16:creationId xmlns:a16="http://schemas.microsoft.com/office/drawing/2014/main" id="{15CC6A4D-483C-4284-B0CD-9F1B06DFAD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15975" y="180975"/>
          <a:ext cx="1716538" cy="590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389267</xdr:colOff>
      <xdr:row>0</xdr:row>
      <xdr:rowOff>21167</xdr:rowOff>
    </xdr:from>
    <xdr:to>
      <xdr:col>17</xdr:col>
      <xdr:colOff>9056</xdr:colOff>
      <xdr:row>3</xdr:row>
      <xdr:rowOff>119211</xdr:rowOff>
    </xdr:to>
    <xdr:pic>
      <xdr:nvPicPr>
        <xdr:cNvPr id="2" name="Picture 1" descr="Energistyrelsen søger en Kontorchef til energiadministrativt kraftcenter i  Esbjerg - Altinget - Alt om politik">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7742" y="21167"/>
          <a:ext cx="1486689" cy="726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xdr:colOff>
      <xdr:row>24</xdr:row>
      <xdr:rowOff>222249</xdr:rowOff>
    </xdr:from>
    <xdr:to>
      <xdr:col>18</xdr:col>
      <xdr:colOff>224118</xdr:colOff>
      <xdr:row>61</xdr:row>
      <xdr:rowOff>134470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8460442" y="5164043"/>
          <a:ext cx="6039970" cy="6893486"/>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da-DK" sz="900" b="1" baseline="0">
              <a:effectLst/>
              <a:latin typeface="Verdana" panose="020B0604030504040204" pitchFamily="34" charset="0"/>
              <a:ea typeface="Verdana" panose="020B0604030504040204" pitchFamily="34" charset="0"/>
              <a:cs typeface="Times New Roman" panose="02020603050405020304" pitchFamily="18" charset="0"/>
            </a:rPr>
            <a:t>Dokumentationskrav ved ansøgning </a:t>
          </a:r>
          <a:r>
            <a:rPr lang="da-DK" sz="900" b="1">
              <a:effectLst/>
              <a:latin typeface="Verdana" panose="020B0604030504040204" pitchFamily="34" charset="0"/>
              <a:ea typeface="Verdana" panose="020B0604030504040204" pitchFamily="34" charset="0"/>
              <a:cs typeface="Times New Roman" panose="02020603050405020304" pitchFamily="18" charset="0"/>
            </a:rPr>
            <a:t>:</a:t>
          </a:r>
          <a:endParaRPr lang="da-DK" sz="900">
            <a:effectLst/>
            <a:latin typeface="Verdana" panose="020B0604030504040204" pitchFamily="34" charset="0"/>
            <a:ea typeface="Verdana" panose="020B0604030504040204" pitchFamily="34" charset="0"/>
            <a:cs typeface="Times New Roman" panose="02020603050405020304" pitchFamily="18" charset="0"/>
          </a:endParaRPr>
        </a:p>
        <a:p>
          <a:pPr marL="342900" lvl="0" indent="-342900">
            <a:lnSpc>
              <a:spcPct val="107000"/>
            </a:lnSpc>
            <a:spcAft>
              <a:spcPts val="800"/>
            </a:spcAft>
            <a:buFont typeface="Symbol" panose="05050102010706020507" pitchFamily="18" charset="2"/>
            <a:buChar char=""/>
          </a:pPr>
          <a:r>
            <a:rPr lang="da-DK" sz="900">
              <a:solidFill>
                <a:schemeClr val="dk1"/>
              </a:solidFill>
              <a:effectLst/>
              <a:latin typeface="Verdana" panose="020B0604030504040204" pitchFamily="34" charset="0"/>
              <a:ea typeface="Verdana" panose="020B0604030504040204" pitchFamily="34" charset="0"/>
              <a:cs typeface="+mn-cs"/>
            </a:rPr>
            <a:t>Der skal foreligge dokumentation på besætningsstørrelsen ved enten at indsende en årsrapport der maksimal er 12 måneder gammel fra ansøgningsdatoen eller et udklip fra CHR.dk. </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For projekter omhandlende stalde uden vekslere skal der foreligge billeddokumentation af staldende, hvor det fremgår tydeligt, at staldende ikke har installeret en veksler. Bemærk der kan kun vælges uden vekslere, hvis der ikke har været installeret veksler de seneste to år og samtidig ikke er et krav i miljørapporten/miljøgodkendelsen. </a:t>
          </a:r>
          <a:endParaRPr lang="da-DK" sz="900">
            <a:solidFill>
              <a:schemeClr val="dk1"/>
            </a:solidFill>
            <a:effectLst/>
            <a:latin typeface="Verdana" panose="020B0604030504040204" pitchFamily="34" charset="0"/>
            <a:ea typeface="Verdana" panose="020B0604030504040204" pitchFamily="34" charset="0"/>
            <a:cs typeface="+mn-cs"/>
          </a:endParaRP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Effekten og alderen på kedel dokumenteres, eksempelvis gennem et billede af mærkepladen. Såfremt alderen ikke kan dokumenteres skal 2 år fra ansøgningstidspunktet vælges. </a:t>
          </a:r>
          <a:endParaRPr lang="da-DK" sz="900">
            <a:solidFill>
              <a:schemeClr val="dk1"/>
            </a:solidFill>
            <a:effectLst/>
            <a:latin typeface="Verdana" panose="020B0604030504040204" pitchFamily="34" charset="0"/>
            <a:ea typeface="Verdana" panose="020B0604030504040204" pitchFamily="34" charset="0"/>
            <a:cs typeface="+mn-cs"/>
          </a:endParaRP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Budget over de forventede støtteberettiget omkostninger for projektet. Budgettet kan udfyldes i Energistyrelsens budgetskabelon, som findes på </a:t>
          </a:r>
          <a:r>
            <a:rPr lang="da-DK" sz="1100" u="sng">
              <a:solidFill>
                <a:schemeClr val="dk1"/>
              </a:solidFill>
              <a:effectLst/>
              <a:latin typeface="+mn-lt"/>
              <a:ea typeface="+mn-ea"/>
              <a:cs typeface="+mn-cs"/>
              <a:hlinkClick xmlns:r="http://schemas.openxmlformats.org/officeDocument/2006/relationships" r:id=""/>
            </a:rPr>
            <a:t>Sparenergi</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endParaRPr lang="da-DK" sz="1100">
            <a:solidFill>
              <a:schemeClr val="dk1"/>
            </a:solidFill>
            <a:effectLst/>
            <a:latin typeface="+mn-lt"/>
            <a:ea typeface="+mn-ea"/>
            <a:cs typeface="+mn-cs"/>
          </a:endParaRPr>
        </a:p>
        <a:p>
          <a:r>
            <a:rPr lang="da-DK" sz="1100" b="1">
              <a:solidFill>
                <a:schemeClr val="dk1"/>
              </a:solidFill>
              <a:effectLst/>
              <a:latin typeface="+mn-lt"/>
              <a:ea typeface="+mn-ea"/>
              <a:cs typeface="+mn-cs"/>
            </a:rPr>
            <a:t>Dokumentationskrav</a:t>
          </a:r>
          <a:r>
            <a:rPr lang="da-DK" sz="1100" b="1" baseline="0">
              <a:solidFill>
                <a:schemeClr val="dk1"/>
              </a:solidFill>
              <a:effectLst/>
              <a:latin typeface="+mn-lt"/>
              <a:ea typeface="+mn-ea"/>
              <a:cs typeface="+mn-cs"/>
            </a:rPr>
            <a:t> ved udbetaling</a:t>
          </a:r>
          <a:r>
            <a:rPr lang="da-DK" sz="1100">
              <a:solidFill>
                <a:schemeClr val="dk1"/>
              </a:solidFill>
              <a:effectLst/>
              <a:latin typeface="+mn-lt"/>
              <a:ea typeface="+mn-ea"/>
              <a:cs typeface="+mn-cs"/>
            </a:rPr>
            <a:t>:</a:t>
          </a:r>
        </a:p>
        <a:p>
          <a:pPr marL="342900" lvl="0" indent="-342900">
            <a:lnSpc>
              <a:spcPct val="107000"/>
            </a:lnSpc>
            <a:spcAft>
              <a:spcPts val="800"/>
            </a:spcAft>
            <a:buFont typeface="Symbol" panose="05050102010706020507" pitchFamily="18" charset="2"/>
            <a:buChar char=""/>
          </a:pPr>
          <a:r>
            <a:rPr lang="da-DK" sz="1100">
              <a:solidFill>
                <a:schemeClr val="dk1"/>
              </a:solidFill>
              <a:effectLst/>
              <a:latin typeface="+mn-lt"/>
              <a:ea typeface="+mn-ea"/>
              <a:cs typeface="+mn-cs"/>
            </a:rPr>
            <a:t>Datablad for virkningsgrad for brændselskedlen /SCOP-værdi for varmepumpen. SCOP-værdi aflæses på datablad for varmepumpen, såfremt SCOP ved 35 grader vælges, skal det dokumenteres at systemet kører med en fremløbstemperatur på 35 grader. Dette kunne eksempelvis være billeder af gulvvarme.</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2.5.i  ”Vejledning til ansøgning om tilskud til energibesparelser”.</a:t>
          </a:r>
          <a:endParaRPr lang="da-DK" sz="1100">
            <a:effectLst/>
          </a:endParaRPr>
        </a:p>
        <a:p>
          <a:r>
            <a:rPr lang="da-DK" sz="1100" b="1" i="0">
              <a:solidFill>
                <a:schemeClr val="dk1"/>
              </a:solidFill>
              <a:effectLst/>
              <a:latin typeface="+mn-lt"/>
              <a:ea typeface="+mn-ea"/>
              <a:cs typeface="+mn-cs"/>
            </a:rPr>
            <a:t>For yderligere</a:t>
          </a:r>
          <a:r>
            <a:rPr lang="da-DK" sz="1100" b="1" i="0" baseline="0">
              <a:solidFill>
                <a:schemeClr val="dk1"/>
              </a:solidFill>
              <a:effectLst/>
              <a:latin typeface="+mn-lt"/>
              <a:ea typeface="+mn-ea"/>
              <a:cs typeface="+mn-cs"/>
            </a:rPr>
            <a:t> vejledning henvises til vejledningen </a:t>
          </a:r>
          <a:r>
            <a:rPr lang="da-DK" sz="1100" b="1" i="1" baseline="0">
              <a:solidFill>
                <a:schemeClr val="dk1"/>
              </a:solidFill>
              <a:effectLst/>
              <a:latin typeface="+mn-lt"/>
              <a:ea typeface="+mn-ea"/>
              <a:cs typeface="+mn-cs"/>
            </a:rPr>
            <a:t>"</a:t>
          </a:r>
          <a:r>
            <a:rPr lang="da-DK" sz="1100" b="1" i="1">
              <a:solidFill>
                <a:schemeClr val="dk1"/>
              </a:solidFill>
              <a:effectLst/>
              <a:latin typeface="+mn-lt"/>
              <a:ea typeface="+mn-ea"/>
              <a:cs typeface="+mn-cs"/>
            </a:rPr>
            <a:t>Vejledning til standardløsning for udskiftning af brændselskedler i stalde"</a:t>
          </a:r>
          <a:r>
            <a:rPr lang="da-DK" sz="1100" b="1" i="0">
              <a:solidFill>
                <a:schemeClr val="dk1"/>
              </a:solidFill>
              <a:effectLst/>
              <a:latin typeface="+mn-lt"/>
              <a:ea typeface="+mn-ea"/>
              <a:cs typeface="+mn-cs"/>
            </a:rPr>
            <a:t>:</a:t>
          </a:r>
          <a:r>
            <a:rPr lang="da-DK" sz="1100" b="1" i="1">
              <a:solidFill>
                <a:schemeClr val="dk1"/>
              </a:solidFill>
              <a:effectLst/>
              <a:latin typeface="+mn-lt"/>
              <a:ea typeface="+mn-ea"/>
              <a:cs typeface="+mn-cs"/>
            </a:rPr>
            <a:t> </a:t>
          </a:r>
          <a:r>
            <a:rPr lang="da-DK" sz="1100" b="0" i="1">
              <a:solidFill>
                <a:schemeClr val="dk1"/>
              </a:solidFill>
              <a:effectLst/>
              <a:latin typeface="+mn-lt"/>
              <a:ea typeface="+mn-ea"/>
              <a:cs typeface="+mn-cs"/>
            </a:rPr>
            <a:t> </a:t>
          </a:r>
          <a:r>
            <a:rPr lang="da-DK" sz="1100">
              <a:solidFill>
                <a:schemeClr val="dk1"/>
              </a:solidFill>
              <a:effectLst/>
              <a:latin typeface="+mn-lt"/>
              <a:ea typeface="+mn-ea"/>
              <a:cs typeface="+mn-cs"/>
            </a:rPr>
            <a:t> </a:t>
          </a:r>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r>
            <a:rPr lang="da-DK" sz="1100" b="1" i="1" baseline="0">
              <a:solidFill>
                <a:schemeClr val="dk1"/>
              </a:solidFill>
              <a:effectLst/>
              <a:latin typeface="+mn-lt"/>
              <a:ea typeface="+mn-ea"/>
              <a:cs typeface="+mn-cs"/>
            </a:rPr>
            <a:t>Behov for hjælp til udfyldelse af ansøgningsskemaet, se kap. 4 i vejledningen</a:t>
          </a:r>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75078</xdr:colOff>
      <xdr:row>14</xdr:row>
      <xdr:rowOff>41460</xdr:rowOff>
    </xdr:from>
    <xdr:to>
      <xdr:col>23</xdr:col>
      <xdr:colOff>0</xdr:colOff>
      <xdr:row>52</xdr:row>
      <xdr:rowOff>11205</xdr:rowOff>
    </xdr:to>
    <xdr:sp macro="" textlink="">
      <xdr:nvSpPr>
        <xdr:cNvPr id="4" name="TextBox 6">
          <a:extLst>
            <a:ext uri="{FF2B5EF4-FFF2-40B4-BE49-F238E27FC236}">
              <a16:creationId xmlns:a16="http://schemas.microsoft.com/office/drawing/2014/main" id="{00000000-0008-0000-0400-000004000000}"/>
            </a:ext>
          </a:extLst>
        </xdr:cNvPr>
        <xdr:cNvSpPr txBox="1"/>
      </xdr:nvSpPr>
      <xdr:spPr>
        <a:xfrm>
          <a:off x="11583519" y="2921372"/>
          <a:ext cx="4777068" cy="8441392"/>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Dokumentationskrav ved ansøgning om tilskud: </a:t>
          </a:r>
        </a:p>
        <a:p>
          <a:endParaRPr lang="da-DK">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Effekten på kedel/ kalorifer/ strålevarmer dokumenteres, eksempelvis gennem et billede af mærkepladen.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En redegørelse for, at projektet er omfatte af standardløsningen. D</a:t>
          </a:r>
          <a:r>
            <a:rPr lang="da-DK" sz="1100" baseline="0">
              <a:solidFill>
                <a:schemeClr val="dk1"/>
              </a:solidFill>
              <a:effectLst/>
              <a:latin typeface="+mn-lt"/>
              <a:ea typeface="+mn-ea"/>
              <a:cs typeface="+mn-cs"/>
            </a:rPr>
            <a:t>vs. at du enten benytter eget produceret brændsel, eller at det fakturerede forbrug ikke med sikkerhed begrænser sig til før-forbruget.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baseline="0">
              <a:solidFill>
                <a:schemeClr val="dk1"/>
              </a:solidFill>
              <a:effectLst/>
              <a:latin typeface="+mn-lt"/>
              <a:ea typeface="+mn-ea"/>
              <a:cs typeface="+mn-cs"/>
            </a:rPr>
            <a:t>Faktura for brændsel, såfremt projektet omhandler en delmængde af et fakturarede forbrug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BBR meddelsen på ansøgningstidspunktet.</a:t>
          </a:r>
          <a:endParaRPr lang="da-DK" sz="1100">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a:t>Dokumentation på besætningsstørrelsen ved enten at indsende en årsrapport, der maksimalt er 12 måneder gammel på ansøgningsdatoen, eller et udklip fra CHR.dk på ansøgningstidspunktet.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a:t>Hvis der i grisestalden udtørres med olie- eller dieselvarmekanoner og de udskiftes, skal de dokumenteres via billeder og fakturaer for olie- eller dieselforbruget.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Budget over de forventede støtteberettigede omkostninger for projektet. Budgettet kan udfyldes i Energistyrelsens budgetskabelon, som findes på </a:t>
          </a:r>
          <a:r>
            <a:rPr lang="da-DK" sz="1100" u="sng">
              <a:solidFill>
                <a:schemeClr val="dk1"/>
              </a:solidFill>
              <a:effectLst/>
              <a:latin typeface="+mn-lt"/>
              <a:ea typeface="+mn-ea"/>
              <a:cs typeface="+mn-cs"/>
            </a:rPr>
            <a:t>sparenergi.dk/erhvervspulljen</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endParaRPr lang="da-DK" sz="1100">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r>
            <a:rPr lang="da-DK" sz="1100" b="1" i="1">
              <a:solidFill>
                <a:schemeClr val="dk1"/>
              </a:solidFill>
              <a:effectLst/>
              <a:latin typeface="+mn-lt"/>
              <a:ea typeface="+mn-ea"/>
              <a:cs typeface="+mn-cs"/>
            </a:rPr>
            <a:t>Dokumentationskrav ved ansøgning om udbetaling:</a:t>
          </a:r>
          <a:endParaRPr lang="da-DK" sz="1100" b="1" i="0" u="none" strike="noStrike">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for dit nye anlæg herunder effekten af den nye varmeforsyning. </a:t>
          </a:r>
          <a:r>
            <a:rPr lang="da-DK"/>
            <a:t>Det kan f.eks. være et billede af mærkepladen, hvor effekt fremgår, eller en ordrebekræftelse/faktura, hvor oplysninger om anlægget fremgår</a:t>
          </a:r>
          <a:endParaRPr lang="da-DK" sz="1100">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2.5.1 </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i  ”Vejledning til ansøgning om tilskud til energibesparelser”.</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solidFill>
              <a:schemeClr val="dk1"/>
            </a:solidFill>
            <a:effectLst/>
            <a:latin typeface="+mn-lt"/>
            <a:ea typeface="+mn-ea"/>
            <a:cs typeface="+mn-cs"/>
          </a:endParaRPr>
        </a:p>
        <a:p>
          <a:pPr eaLnBrk="1" fontAlgn="auto" latinLnBrk="0" hangingPunct="1"/>
          <a:r>
            <a:rPr lang="da-DK" sz="1100" b="1" i="0">
              <a:solidFill>
                <a:schemeClr val="dk1"/>
              </a:solidFill>
              <a:effectLst/>
              <a:latin typeface="+mn-lt"/>
              <a:ea typeface="+mn-ea"/>
              <a:cs typeface="+mn-cs"/>
            </a:rPr>
            <a:t>Yderligere</a:t>
          </a:r>
          <a:r>
            <a:rPr lang="da-DK" sz="1100" b="1" i="0" baseline="0">
              <a:solidFill>
                <a:schemeClr val="dk1"/>
              </a:solidFill>
              <a:effectLst/>
              <a:latin typeface="+mn-lt"/>
              <a:ea typeface="+mn-ea"/>
              <a:cs typeface="+mn-cs"/>
            </a:rPr>
            <a:t> vejledning henvises til vejledning kap. 3.3</a:t>
          </a:r>
          <a:endParaRPr lang="da-DK" sz="600" b="1" i="1">
            <a:solidFill>
              <a:schemeClr val="dk1"/>
            </a:solidFill>
            <a:effectLst/>
            <a:latin typeface="+mn-lt"/>
            <a:ea typeface="+mn-ea"/>
            <a:cs typeface="+mn-cs"/>
          </a:endParaRPr>
        </a:p>
        <a:p>
          <a:endParaRPr lang="da-DK" sz="600" b="1" i="1">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effectLst/>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xdr:txBody>
    </xdr:sp>
    <xdr:clientData/>
  </xdr:twoCellAnchor>
  <xdr:twoCellAnchor editAs="oneCell">
    <xdr:from>
      <xdr:col>21</xdr:col>
      <xdr:colOff>95250</xdr:colOff>
      <xdr:row>0</xdr:row>
      <xdr:rowOff>142875</xdr:rowOff>
    </xdr:from>
    <xdr:to>
      <xdr:col>23</xdr:col>
      <xdr:colOff>411613</xdr:colOff>
      <xdr:row>3</xdr:row>
      <xdr:rowOff>161925</xdr:rowOff>
    </xdr:to>
    <xdr:pic>
      <xdr:nvPicPr>
        <xdr:cNvPr id="6" name="Billede 5">
          <a:extLst>
            <a:ext uri="{FF2B5EF4-FFF2-40B4-BE49-F238E27FC236}">
              <a16:creationId xmlns:a16="http://schemas.microsoft.com/office/drawing/2014/main" id="{4F593A28-75BC-4B07-8011-34CA3E6CB1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11400" y="142875"/>
          <a:ext cx="1716538" cy="5905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19050</xdr:colOff>
      <xdr:row>0</xdr:row>
      <xdr:rowOff>152400</xdr:rowOff>
    </xdr:from>
    <xdr:to>
      <xdr:col>19</xdr:col>
      <xdr:colOff>516388</xdr:colOff>
      <xdr:row>3</xdr:row>
      <xdr:rowOff>171450</xdr:rowOff>
    </xdr:to>
    <xdr:pic>
      <xdr:nvPicPr>
        <xdr:cNvPr id="5" name="Billed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4400" y="152400"/>
          <a:ext cx="1716538" cy="590550"/>
        </a:xfrm>
        <a:prstGeom prst="rect">
          <a:avLst/>
        </a:prstGeom>
      </xdr:spPr>
    </xdr:pic>
    <xdr:clientData/>
  </xdr:twoCellAnchor>
  <xdr:twoCellAnchor>
    <xdr:from>
      <xdr:col>11</xdr:col>
      <xdr:colOff>590550</xdr:colOff>
      <xdr:row>14</xdr:row>
      <xdr:rowOff>209550</xdr:rowOff>
    </xdr:from>
    <xdr:to>
      <xdr:col>19</xdr:col>
      <xdr:colOff>0</xdr:colOff>
      <xdr:row>42</xdr:row>
      <xdr:rowOff>33617</xdr:rowOff>
    </xdr:to>
    <xdr:sp macro="" textlink="">
      <xdr:nvSpPr>
        <xdr:cNvPr id="4" name="TextBox 6">
          <a:extLst>
            <a:ext uri="{FF2B5EF4-FFF2-40B4-BE49-F238E27FC236}">
              <a16:creationId xmlns:a16="http://schemas.microsoft.com/office/drawing/2014/main" id="{00000000-0008-0000-0500-000004000000}"/>
            </a:ext>
          </a:extLst>
        </xdr:cNvPr>
        <xdr:cNvSpPr txBox="1"/>
      </xdr:nvSpPr>
      <xdr:spPr>
        <a:xfrm>
          <a:off x="7437344" y="3055844"/>
          <a:ext cx="4754656" cy="5976097"/>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Dokumentationskrav ved ansøgning om tilskud: </a:t>
          </a:r>
        </a:p>
        <a:p>
          <a:endParaRPr lang="da-DK">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Effekten på kedel/ kalorifer/ strålevarmer dokumenteres, eksempelvis gennem et billede af mærkepladen.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En redegørelse for, at projektet er omfatte af standardløsningen. D</a:t>
          </a:r>
          <a:r>
            <a:rPr lang="da-DK" sz="1100" baseline="0">
              <a:solidFill>
                <a:schemeClr val="dk1"/>
              </a:solidFill>
              <a:effectLst/>
              <a:latin typeface="+mn-lt"/>
              <a:ea typeface="+mn-ea"/>
              <a:cs typeface="+mn-cs"/>
            </a:rPr>
            <a:t>vs. at du enten benytter eget produceret brændsel, eller at det fakturerede forbrug ikke med sikkerhed begrænser sig til før-forbruget</a:t>
          </a:r>
          <a:r>
            <a:rPr lang="da-DK" sz="1100">
              <a:solidFill>
                <a:schemeClr val="dk1"/>
              </a:solidFill>
              <a:effectLst/>
              <a:latin typeface="+mn-lt"/>
              <a:ea typeface="+mn-ea"/>
              <a:cs typeface="+mn-cs"/>
            </a:rPr>
            <a:t>.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baseline="0">
              <a:solidFill>
                <a:schemeClr val="dk1"/>
              </a:solidFill>
              <a:effectLst/>
              <a:latin typeface="+mn-lt"/>
              <a:ea typeface="+mn-ea"/>
              <a:cs typeface="+mn-cs"/>
            </a:rPr>
            <a:t>Faktura for brændsel, såfremt projektet omhandler en delmængde af et fakturarede forbrug</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a:t>Dokumentation på besætningsstørrelsen ved enten at indsende en årsrapport, der maksimalt er 12 måneder gammel på ansøgningsdatoen, eller et udklip fra CHR.dk på ansøgningstidspunktet.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Budget over de forventede støtteberettigede omkostninger for projektet. Budgettet kan udfyldes i Energistyrelsens budgetskabelon, som findes på </a:t>
          </a:r>
          <a:r>
            <a:rPr lang="da-DK" sz="1100" u="sng">
              <a:solidFill>
                <a:schemeClr val="dk1"/>
              </a:solidFill>
              <a:effectLst/>
              <a:latin typeface="+mn-lt"/>
              <a:ea typeface="+mn-ea"/>
              <a:cs typeface="+mn-cs"/>
              <a:hlinkClick xmlns:r="http://schemas.openxmlformats.org/officeDocument/2006/relationships" r:id=""/>
            </a:rPr>
            <a:t>Sparenergi</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endParaRPr lang="da-DK" sz="1100">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r>
            <a:rPr lang="da-DK" sz="1100" b="1" i="1">
              <a:solidFill>
                <a:schemeClr val="dk1"/>
              </a:solidFill>
              <a:effectLst/>
              <a:latin typeface="+mn-lt"/>
              <a:ea typeface="+mn-ea"/>
              <a:cs typeface="+mn-cs"/>
            </a:rPr>
            <a:t>Dokumentationskrav ved ansøgning om udbetaling:</a:t>
          </a:r>
          <a:endParaRPr lang="da-DK" sz="1100" b="1" i="0" u="none" strike="noStrike">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for dit nye anlæg herunder effekten af den nye varmeforsyning. </a:t>
          </a:r>
          <a:r>
            <a:rPr lang="da-DK"/>
            <a:t>Det kan f.eks. være et billede af mærkepladen, hvor effekt fremgår, eller en ordrebekræftelse/faktura, hvor oplysninger om anlægget fremgår.</a:t>
          </a:r>
          <a:endParaRPr lang="da-DK" sz="1100">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2.5.1 </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i  ”Vejledning til ansøgning om tilskud til energibesparelser”.</a:t>
          </a:r>
        </a:p>
        <a:p>
          <a:pPr eaLnBrk="1" fontAlgn="auto" latinLnBrk="0" hangingPunct="1"/>
          <a:endParaRPr lang="da-DK" sz="1100" b="1" i="0">
            <a:solidFill>
              <a:schemeClr val="dk1"/>
            </a:solidFill>
            <a:effectLst/>
            <a:latin typeface="+mn-lt"/>
            <a:ea typeface="+mn-ea"/>
            <a:cs typeface="+mn-cs"/>
          </a:endParaRPr>
        </a:p>
        <a:p>
          <a:pPr eaLnBrk="1" fontAlgn="auto" latinLnBrk="0" hangingPunct="1"/>
          <a:r>
            <a:rPr lang="da-DK" sz="1100" b="1" i="0">
              <a:solidFill>
                <a:schemeClr val="dk1"/>
              </a:solidFill>
              <a:effectLst/>
              <a:latin typeface="+mn-lt"/>
              <a:ea typeface="+mn-ea"/>
              <a:cs typeface="+mn-cs"/>
            </a:rPr>
            <a:t>Yderligere</a:t>
          </a:r>
          <a:r>
            <a:rPr lang="da-DK" sz="1100" b="1" i="0" baseline="0">
              <a:solidFill>
                <a:schemeClr val="dk1"/>
              </a:solidFill>
              <a:effectLst/>
              <a:latin typeface="+mn-lt"/>
              <a:ea typeface="+mn-ea"/>
              <a:cs typeface="+mn-cs"/>
            </a:rPr>
            <a:t> vejledning henvises til vejledning kap.3.3</a:t>
          </a:r>
          <a:endParaRPr lang="da-DK" sz="600" b="1" i="1">
            <a:solidFill>
              <a:schemeClr val="dk1"/>
            </a:solidFill>
            <a:effectLst/>
            <a:latin typeface="+mn-lt"/>
            <a:ea typeface="+mn-ea"/>
            <a:cs typeface="+mn-cs"/>
          </a:endParaRPr>
        </a:p>
        <a:p>
          <a:endParaRPr lang="da-DK" sz="600" b="1" i="1">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effectLst/>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130824/Downloads/bilag_5_-_standardloesning_for_udskiftning_af_braendselskedler_i_stalde_12082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Beskrivelse"/>
      <sheetName val="Grise - Varmeforbrug"/>
      <sheetName val="Grise - regneark"/>
      <sheetName val="Grise - Virkningsgrader"/>
      <sheetName val="Grise-Virkningsgrad regneark"/>
      <sheetName val="Kyllinge - Varmeforbrug "/>
      <sheetName val="Kyllinge - regneark"/>
      <sheetName val="Kyllinge - virkningsgrad"/>
      <sheetName val="Kyllinge-Virkningsgrad regneark"/>
    </sheetNames>
    <sheetDataSet>
      <sheetData sheetId="0"/>
      <sheetData sheetId="1"/>
      <sheetData sheetId="2"/>
      <sheetData sheetId="3" refreshError="1">
        <row r="28">
          <cell r="B28" t="str">
            <v>Brændselskedel</v>
          </cell>
          <cell r="C28" t="str">
            <v>Fjernvarme</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38"/>
  <sheetViews>
    <sheetView tabSelected="1" workbookViewId="0">
      <selection activeCell="B7" sqref="B7:M8"/>
    </sheetView>
  </sheetViews>
  <sheetFormatPr defaultColWidth="10.42578125" defaultRowHeight="12.75" customHeight="1" x14ac:dyDescent="0.15"/>
  <cols>
    <col min="1" max="1" width="7.42578125" style="50" customWidth="1"/>
    <col min="2" max="2" width="4.42578125" style="50" customWidth="1"/>
    <col min="3" max="3" width="5.42578125" style="50" customWidth="1"/>
    <col min="4" max="4" width="11.42578125" style="50" customWidth="1"/>
    <col min="5" max="5" width="15.42578125" style="50" customWidth="1"/>
    <col min="6" max="6" width="10.42578125" style="50" customWidth="1"/>
    <col min="7" max="7" width="10.5703125" style="50" customWidth="1"/>
    <col min="8" max="8" width="7" style="50" customWidth="1"/>
    <col min="9" max="9" width="11.28515625" style="50" customWidth="1"/>
    <col min="10" max="10" width="6.42578125" style="50" customWidth="1"/>
    <col min="11" max="11" width="4.5703125" style="50" customWidth="1"/>
    <col min="12" max="12" width="3.42578125" style="50" customWidth="1"/>
    <col min="13" max="13" width="10.42578125" style="50" customWidth="1"/>
    <col min="14" max="14" width="12.5703125" style="50" customWidth="1"/>
    <col min="15" max="15" width="7.5703125" style="50" customWidth="1"/>
    <col min="16" max="16384" width="10.42578125" style="50"/>
  </cols>
  <sheetData>
    <row r="1" spans="1:16" ht="6.75" customHeight="1" x14ac:dyDescent="0.15">
      <c r="A1" s="32"/>
      <c r="B1" s="32"/>
      <c r="C1" s="32"/>
      <c r="D1" s="32"/>
      <c r="E1" s="32"/>
      <c r="F1" s="32"/>
      <c r="G1" s="32"/>
      <c r="H1" s="32"/>
      <c r="I1" s="32"/>
      <c r="J1" s="32"/>
      <c r="K1" s="32"/>
      <c r="L1" s="32"/>
      <c r="M1" s="32"/>
      <c r="N1" s="32"/>
      <c r="O1" s="32"/>
      <c r="P1" s="32"/>
    </row>
    <row r="2" spans="1:16" ht="14.25" customHeight="1" x14ac:dyDescent="0.2">
      <c r="A2" s="32"/>
      <c r="B2" s="366" t="s">
        <v>273</v>
      </c>
      <c r="C2" s="366"/>
      <c r="D2" s="366"/>
      <c r="E2" s="366"/>
      <c r="F2" s="366"/>
      <c r="G2" s="366"/>
      <c r="H2" s="366"/>
      <c r="I2" s="366"/>
      <c r="J2" s="366"/>
      <c r="K2" s="366"/>
      <c r="L2" s="366"/>
      <c r="M2" s="366"/>
      <c r="N2" s="366"/>
      <c r="O2" s="19"/>
      <c r="P2" s="20"/>
    </row>
    <row r="3" spans="1:16" ht="31.5" customHeight="1" x14ac:dyDescent="0.15">
      <c r="A3" s="20"/>
      <c r="B3" s="366"/>
      <c r="C3" s="366"/>
      <c r="D3" s="366"/>
      <c r="E3" s="366"/>
      <c r="F3" s="366"/>
      <c r="G3" s="366"/>
      <c r="H3" s="366"/>
      <c r="I3" s="366"/>
      <c r="J3" s="366"/>
      <c r="K3" s="366"/>
      <c r="L3" s="366"/>
      <c r="M3" s="366"/>
      <c r="N3" s="366"/>
      <c r="O3" s="21"/>
      <c r="P3" s="20"/>
    </row>
    <row r="4" spans="1:16" ht="9.75" customHeight="1" x14ac:dyDescent="0.25">
      <c r="A4" s="36"/>
      <c r="B4" s="22"/>
      <c r="C4" s="22"/>
      <c r="D4" s="22"/>
      <c r="E4" s="22"/>
      <c r="F4" s="22"/>
      <c r="G4" s="22"/>
      <c r="H4" s="23"/>
      <c r="I4" s="24"/>
      <c r="J4" s="20"/>
      <c r="K4" s="20"/>
      <c r="L4" s="20"/>
      <c r="M4" s="20"/>
      <c r="N4" s="20"/>
      <c r="O4" s="20"/>
      <c r="P4" s="25" t="s">
        <v>285</v>
      </c>
    </row>
    <row r="5" spans="1:16" ht="12.75" customHeight="1" x14ac:dyDescent="0.15">
      <c r="A5" s="39"/>
      <c r="B5" s="39"/>
      <c r="C5" s="39"/>
      <c r="D5" s="39"/>
      <c r="E5" s="39"/>
      <c r="F5" s="39"/>
      <c r="G5" s="39"/>
      <c r="H5" s="39"/>
      <c r="I5" s="39"/>
      <c r="J5" s="39"/>
      <c r="K5" s="39"/>
      <c r="L5" s="39"/>
      <c r="M5" s="39"/>
      <c r="N5" s="39"/>
      <c r="O5" s="39"/>
      <c r="P5" s="39"/>
    </row>
    <row r="6" spans="1:16" ht="6.75" customHeight="1" x14ac:dyDescent="0.15">
      <c r="A6" s="20"/>
      <c r="B6" s="67"/>
      <c r="C6" s="20"/>
      <c r="D6" s="20"/>
      <c r="E6" s="20"/>
      <c r="F6" s="20"/>
      <c r="G6" s="20"/>
      <c r="H6" s="20"/>
      <c r="I6" s="20"/>
      <c r="J6" s="20"/>
      <c r="K6" s="20"/>
      <c r="L6" s="20"/>
      <c r="M6" s="20"/>
      <c r="N6" s="20"/>
      <c r="O6" s="20"/>
      <c r="P6" s="20"/>
    </row>
    <row r="7" spans="1:16" ht="12.75" customHeight="1" x14ac:dyDescent="0.25">
      <c r="A7" s="27"/>
      <c r="B7" s="365"/>
      <c r="C7" s="365"/>
      <c r="D7" s="365"/>
      <c r="E7" s="365"/>
      <c r="F7" s="365"/>
      <c r="G7" s="365"/>
      <c r="H7" s="365"/>
      <c r="I7" s="365"/>
      <c r="J7" s="365"/>
      <c r="K7" s="365"/>
      <c r="L7" s="365"/>
      <c r="M7" s="365"/>
      <c r="N7" s="358"/>
      <c r="O7" s="358"/>
      <c r="P7" s="26"/>
    </row>
    <row r="8" spans="1:16" ht="12.75" customHeight="1" x14ac:dyDescent="0.25">
      <c r="A8" s="27"/>
      <c r="B8" s="365"/>
      <c r="C8" s="365"/>
      <c r="D8" s="365"/>
      <c r="E8" s="365"/>
      <c r="F8" s="365"/>
      <c r="G8" s="365"/>
      <c r="H8" s="365"/>
      <c r="I8" s="365"/>
      <c r="J8" s="365"/>
      <c r="K8" s="365"/>
      <c r="L8" s="365"/>
      <c r="M8" s="365"/>
      <c r="N8" s="358"/>
      <c r="O8" s="358"/>
      <c r="P8" s="292"/>
    </row>
    <row r="9" spans="1:16" ht="12.75" customHeight="1" x14ac:dyDescent="0.15">
      <c r="A9" s="27"/>
      <c r="B9" s="353"/>
      <c r="C9" s="364"/>
      <c r="D9" s="364"/>
      <c r="E9" s="364"/>
      <c r="F9" s="364"/>
      <c r="G9" s="364"/>
      <c r="H9" s="364"/>
      <c r="I9" s="364"/>
      <c r="J9" s="364"/>
      <c r="K9" s="364"/>
      <c r="L9" s="364"/>
      <c r="M9" s="364"/>
      <c r="N9" s="356"/>
      <c r="O9" s="356"/>
      <c r="P9" s="293"/>
    </row>
    <row r="10" spans="1:16" ht="12.75" customHeight="1" x14ac:dyDescent="0.15">
      <c r="A10" s="27"/>
      <c r="B10" s="353"/>
      <c r="C10" s="364"/>
      <c r="D10" s="364"/>
      <c r="E10" s="364"/>
      <c r="F10" s="364"/>
      <c r="G10" s="364"/>
      <c r="H10" s="364"/>
      <c r="I10" s="364"/>
      <c r="J10" s="364"/>
      <c r="K10" s="364"/>
      <c r="L10" s="364"/>
      <c r="M10" s="364"/>
      <c r="N10" s="356"/>
      <c r="O10" s="356"/>
      <c r="P10" s="293"/>
    </row>
    <row r="11" spans="1:16" ht="12.75" customHeight="1" x14ac:dyDescent="0.15">
      <c r="A11" s="27"/>
      <c r="B11" s="353"/>
      <c r="C11" s="364"/>
      <c r="D11" s="364"/>
      <c r="E11" s="364"/>
      <c r="F11" s="364"/>
      <c r="G11" s="364"/>
      <c r="H11" s="364"/>
      <c r="I11" s="364"/>
      <c r="J11" s="364"/>
      <c r="K11" s="364"/>
      <c r="L11" s="364"/>
      <c r="M11" s="364"/>
      <c r="N11" s="356"/>
      <c r="O11" s="356"/>
      <c r="P11" s="293"/>
    </row>
    <row r="12" spans="1:16" ht="12.75" customHeight="1" x14ac:dyDescent="0.15">
      <c r="A12" s="27"/>
      <c r="B12" s="353"/>
      <c r="C12" s="364"/>
      <c r="D12" s="364"/>
      <c r="E12" s="364"/>
      <c r="F12" s="364"/>
      <c r="G12" s="364"/>
      <c r="H12" s="364"/>
      <c r="I12" s="364"/>
      <c r="J12" s="364"/>
      <c r="K12" s="364"/>
      <c r="L12" s="364"/>
      <c r="M12" s="364"/>
      <c r="N12" s="356"/>
      <c r="O12" s="356"/>
      <c r="P12" s="293"/>
    </row>
    <row r="13" spans="1:16" ht="12.75" customHeight="1" x14ac:dyDescent="0.15">
      <c r="A13" s="27"/>
      <c r="B13" s="353"/>
      <c r="C13" s="364"/>
      <c r="D13" s="364"/>
      <c r="E13" s="364"/>
      <c r="F13" s="364"/>
      <c r="G13" s="364"/>
      <c r="H13" s="364"/>
      <c r="I13" s="364"/>
      <c r="J13" s="364"/>
      <c r="K13" s="364"/>
      <c r="L13" s="364"/>
      <c r="M13" s="364"/>
      <c r="N13" s="356"/>
      <c r="O13" s="356"/>
      <c r="P13" s="293"/>
    </row>
    <row r="14" spans="1:16" ht="12.75" customHeight="1" x14ac:dyDescent="0.15">
      <c r="A14" s="27"/>
      <c r="B14" s="353"/>
      <c r="C14" s="367"/>
      <c r="D14" s="367"/>
      <c r="E14" s="367"/>
      <c r="F14" s="367"/>
      <c r="G14" s="367"/>
      <c r="H14" s="367"/>
      <c r="I14" s="367"/>
      <c r="J14" s="367"/>
      <c r="K14" s="367"/>
      <c r="L14" s="367"/>
      <c r="M14" s="367"/>
      <c r="N14" s="354"/>
      <c r="O14" s="354"/>
      <c r="P14" s="292"/>
    </row>
    <row r="15" spans="1:16" ht="9.75" customHeight="1" x14ac:dyDescent="0.3">
      <c r="A15" s="27"/>
      <c r="B15" s="294"/>
      <c r="C15" s="27"/>
      <c r="D15" s="27"/>
      <c r="E15" s="27"/>
      <c r="F15" s="27"/>
      <c r="G15" s="27"/>
      <c r="H15" s="27"/>
      <c r="I15" s="27"/>
      <c r="J15" s="27"/>
      <c r="K15" s="295"/>
      <c r="L15" s="295"/>
      <c r="M15" s="27"/>
      <c r="N15" s="27"/>
      <c r="O15" s="27"/>
      <c r="P15" s="27"/>
    </row>
    <row r="16" spans="1:16" ht="18" x14ac:dyDescent="0.25">
      <c r="A16" s="27"/>
      <c r="B16" s="368"/>
      <c r="C16" s="368"/>
      <c r="D16" s="368"/>
      <c r="E16" s="368"/>
      <c r="F16" s="368"/>
      <c r="G16" s="368"/>
      <c r="H16" s="368"/>
      <c r="I16" s="368"/>
      <c r="J16" s="368"/>
      <c r="K16" s="27"/>
      <c r="L16" s="181"/>
      <c r="M16" s="27"/>
      <c r="N16" s="27"/>
      <c r="O16" s="27"/>
      <c r="P16" s="181"/>
    </row>
    <row r="17" spans="1:16" ht="12.75" customHeight="1" x14ac:dyDescent="0.15">
      <c r="A17" s="27"/>
      <c r="B17" s="353"/>
      <c r="C17" s="367"/>
      <c r="D17" s="367"/>
      <c r="E17" s="367"/>
      <c r="F17" s="367"/>
      <c r="G17" s="354"/>
      <c r="H17" s="369"/>
      <c r="I17" s="369"/>
      <c r="J17" s="26"/>
      <c r="K17" s="27"/>
      <c r="L17" s="370"/>
      <c r="M17" s="371"/>
      <c r="N17" s="371"/>
      <c r="O17" s="371"/>
      <c r="P17" s="371"/>
    </row>
    <row r="18" spans="1:16" ht="12.75" customHeight="1" x14ac:dyDescent="0.15">
      <c r="A18" s="27"/>
      <c r="B18" s="353"/>
      <c r="C18" s="364"/>
      <c r="D18" s="364"/>
      <c r="E18" s="364"/>
      <c r="F18" s="364"/>
      <c r="G18" s="356"/>
      <c r="H18" s="370"/>
      <c r="I18" s="370"/>
      <c r="J18" s="26"/>
      <c r="K18" s="27"/>
      <c r="L18" s="370"/>
      <c r="M18" s="371"/>
      <c r="N18" s="371"/>
      <c r="O18" s="371"/>
      <c r="P18" s="371"/>
    </row>
    <row r="19" spans="1:16" ht="12.75" customHeight="1" x14ac:dyDescent="0.15">
      <c r="A19" s="27"/>
      <c r="B19" s="353"/>
      <c r="C19" s="367"/>
      <c r="D19" s="367"/>
      <c r="E19" s="367"/>
      <c r="F19" s="367"/>
      <c r="G19" s="354"/>
      <c r="H19" s="370"/>
      <c r="I19" s="370"/>
      <c r="J19" s="26"/>
      <c r="K19" s="27"/>
      <c r="L19" s="370"/>
      <c r="M19" s="372"/>
      <c r="N19" s="372"/>
      <c r="O19" s="372"/>
      <c r="P19" s="372"/>
    </row>
    <row r="20" spans="1:16" ht="12.75" customHeight="1" x14ac:dyDescent="0.15">
      <c r="A20" s="27"/>
      <c r="B20" s="353"/>
      <c r="C20" s="367"/>
      <c r="D20" s="367"/>
      <c r="E20" s="367"/>
      <c r="F20" s="367"/>
      <c r="G20" s="354"/>
      <c r="H20" s="370"/>
      <c r="I20" s="370"/>
      <c r="J20" s="26"/>
      <c r="K20" s="27"/>
      <c r="L20" s="370"/>
      <c r="M20" s="372"/>
      <c r="N20" s="372"/>
      <c r="O20" s="372"/>
      <c r="P20" s="372"/>
    </row>
    <row r="21" spans="1:16" ht="12" customHeight="1" x14ac:dyDescent="0.2">
      <c r="A21" s="27"/>
      <c r="B21" s="28"/>
      <c r="C21" s="26"/>
      <c r="D21" s="20"/>
      <c r="E21" s="28" t="s">
        <v>47</v>
      </c>
      <c r="F21" s="29"/>
      <c r="G21" s="29"/>
      <c r="H21" s="20"/>
      <c r="I21" s="30" t="s">
        <v>48</v>
      </c>
      <c r="J21" s="29"/>
      <c r="K21" s="29"/>
      <c r="L21" s="20"/>
      <c r="M21" s="29"/>
      <c r="N21" s="29"/>
      <c r="O21" s="30"/>
      <c r="P21" s="26"/>
    </row>
    <row r="22" spans="1:16" ht="34.35" customHeight="1" x14ac:dyDescent="0.15">
      <c r="A22" s="27"/>
      <c r="B22" s="353"/>
      <c r="C22" s="26"/>
      <c r="D22" s="20"/>
      <c r="E22" s="373" t="s">
        <v>289</v>
      </c>
      <c r="F22" s="373"/>
      <c r="G22" s="373"/>
      <c r="H22" s="20"/>
      <c r="I22" s="374" t="s">
        <v>49</v>
      </c>
      <c r="J22" s="374"/>
      <c r="K22" s="374"/>
      <c r="L22" s="374"/>
      <c r="M22" s="374"/>
      <c r="N22" s="351"/>
      <c r="O22" s="373"/>
      <c r="P22" s="373"/>
    </row>
    <row r="23" spans="1:16" ht="31.5" customHeight="1" x14ac:dyDescent="0.15">
      <c r="A23" s="27"/>
      <c r="B23" s="353"/>
      <c r="C23" s="26"/>
      <c r="D23" s="20"/>
      <c r="E23" s="373" t="s">
        <v>51</v>
      </c>
      <c r="F23" s="373"/>
      <c r="G23" s="373"/>
      <c r="H23" s="20"/>
      <c r="I23" s="374" t="s">
        <v>50</v>
      </c>
      <c r="J23" s="374"/>
      <c r="K23" s="374"/>
      <c r="L23" s="374"/>
      <c r="M23" s="374"/>
      <c r="N23" s="31"/>
      <c r="O23" s="373"/>
      <c r="P23" s="373"/>
    </row>
    <row r="24" spans="1:16" ht="42" customHeight="1" x14ac:dyDescent="0.15">
      <c r="A24" s="27"/>
      <c r="B24" s="353"/>
      <c r="C24" s="26"/>
      <c r="D24" s="20"/>
      <c r="E24" s="373" t="s">
        <v>197</v>
      </c>
      <c r="F24" s="373"/>
      <c r="G24" s="373"/>
      <c r="H24" s="20"/>
      <c r="I24" s="374"/>
      <c r="J24" s="374"/>
      <c r="K24" s="374"/>
      <c r="L24" s="374"/>
      <c r="M24" s="374"/>
      <c r="N24" s="31"/>
      <c r="O24" s="373"/>
      <c r="P24" s="373"/>
    </row>
    <row r="25" spans="1:16" ht="53.25" customHeight="1" x14ac:dyDescent="0.15">
      <c r="A25" s="27"/>
      <c r="B25" s="353"/>
      <c r="C25" s="26"/>
      <c r="D25" s="20"/>
      <c r="E25" s="375"/>
      <c r="F25" s="373"/>
      <c r="G25" s="373"/>
      <c r="H25" s="20"/>
      <c r="I25" s="26"/>
      <c r="J25" s="26"/>
      <c r="K25" s="26"/>
      <c r="L25" s="26"/>
      <c r="M25" s="26"/>
      <c r="N25" s="26"/>
      <c r="O25" s="26"/>
      <c r="P25" s="26"/>
    </row>
    <row r="26" spans="1:16" ht="12.75" customHeight="1" x14ac:dyDescent="0.15">
      <c r="A26" s="27"/>
      <c r="B26" s="27"/>
      <c r="C26" s="26"/>
      <c r="D26" s="26"/>
      <c r="E26" s="26"/>
      <c r="F26" s="26"/>
      <c r="G26" s="26"/>
      <c r="H26" s="26"/>
      <c r="I26" s="26"/>
      <c r="J26" s="26"/>
      <c r="K26" s="26"/>
      <c r="L26" s="26"/>
      <c r="M26" s="26"/>
      <c r="N26" s="26"/>
      <c r="O26" s="26"/>
      <c r="P26" s="26"/>
    </row>
    <row r="27" spans="1:16" ht="18.75" customHeight="1" x14ac:dyDescent="0.15">
      <c r="A27" s="27"/>
      <c r="B27" s="357"/>
      <c r="C27" s="26"/>
      <c r="D27" s="26"/>
      <c r="E27" s="26"/>
      <c r="F27" s="26"/>
      <c r="G27" s="26"/>
      <c r="H27" s="26"/>
      <c r="I27" s="26"/>
      <c r="J27" s="26"/>
      <c r="K27" s="26"/>
      <c r="L27" s="26"/>
      <c r="M27" s="26"/>
      <c r="N27" s="26"/>
      <c r="O27" s="26"/>
      <c r="P27" s="26"/>
    </row>
    <row r="28" spans="1:16" ht="6" customHeight="1" x14ac:dyDescent="0.15">
      <c r="A28" s="27"/>
      <c r="B28" s="296"/>
      <c r="C28" s="26"/>
      <c r="D28" s="26"/>
      <c r="E28" s="26"/>
      <c r="F28" s="26"/>
      <c r="G28" s="26"/>
      <c r="H28" s="26"/>
      <c r="I28" s="26"/>
      <c r="J28" s="26"/>
      <c r="K28" s="26"/>
      <c r="L28" s="26"/>
      <c r="M28" s="26"/>
      <c r="N28" s="26"/>
      <c r="O28" s="26"/>
      <c r="P28" s="26"/>
    </row>
    <row r="29" spans="1:16" ht="12.75" customHeight="1" x14ac:dyDescent="0.15">
      <c r="A29" s="27"/>
      <c r="B29" s="296"/>
      <c r="C29" s="26"/>
      <c r="D29" s="26"/>
      <c r="E29" s="26"/>
      <c r="F29" s="26"/>
      <c r="G29" s="26"/>
      <c r="H29" s="26"/>
      <c r="I29" s="26"/>
      <c r="J29" s="26"/>
      <c r="K29" s="26"/>
      <c r="L29" s="26"/>
      <c r="M29" s="26"/>
      <c r="N29" s="26"/>
      <c r="O29" s="26"/>
      <c r="P29" s="26"/>
    </row>
    <row r="30" spans="1:16" ht="15" customHeight="1" x14ac:dyDescent="0.15">
      <c r="A30" s="27"/>
      <c r="B30" s="354"/>
      <c r="C30" s="26"/>
      <c r="D30" s="26"/>
      <c r="E30" s="26"/>
      <c r="F30" s="26"/>
      <c r="G30" s="26"/>
      <c r="H30" s="26"/>
      <c r="I30" s="26"/>
      <c r="J30" s="26"/>
      <c r="K30" s="26"/>
      <c r="L30" s="26"/>
      <c r="M30" s="26"/>
      <c r="N30" s="26"/>
      <c r="O30" s="26"/>
      <c r="P30" s="26"/>
    </row>
    <row r="31" spans="1:16" ht="12.75" customHeight="1" x14ac:dyDescent="0.15">
      <c r="A31" s="27"/>
      <c r="B31" s="376"/>
      <c r="C31" s="376"/>
      <c r="D31" s="376"/>
      <c r="E31" s="376"/>
      <c r="F31" s="376"/>
      <c r="G31" s="352"/>
      <c r="H31" s="352"/>
      <c r="I31" s="377"/>
      <c r="J31" s="376"/>
      <c r="K31" s="27"/>
      <c r="L31" s="370"/>
      <c r="M31" s="378"/>
      <c r="N31" s="378"/>
      <c r="O31" s="378"/>
      <c r="P31" s="378"/>
    </row>
    <row r="32" spans="1:16" ht="15" customHeight="1" x14ac:dyDescent="0.15">
      <c r="A32" s="27"/>
      <c r="B32" s="376"/>
      <c r="C32" s="376"/>
      <c r="D32" s="376"/>
      <c r="E32" s="376"/>
      <c r="F32" s="376"/>
      <c r="G32" s="352"/>
      <c r="H32" s="352"/>
      <c r="I32" s="377"/>
      <c r="J32" s="376"/>
      <c r="K32" s="27"/>
      <c r="L32" s="370"/>
      <c r="M32" s="378"/>
      <c r="N32" s="378"/>
      <c r="O32" s="378"/>
      <c r="P32" s="378"/>
    </row>
    <row r="33" spans="1:16" ht="18.75" customHeight="1" x14ac:dyDescent="0.15">
      <c r="A33" s="27"/>
      <c r="B33" s="27"/>
      <c r="C33" s="27"/>
      <c r="D33" s="27"/>
      <c r="E33" s="27"/>
      <c r="F33" s="27"/>
      <c r="G33" s="27"/>
      <c r="H33" s="27"/>
      <c r="I33" s="27"/>
      <c r="J33" s="27"/>
      <c r="K33" s="27"/>
      <c r="L33" s="27"/>
      <c r="M33" s="27"/>
      <c r="N33" s="27"/>
      <c r="O33" s="27"/>
      <c r="P33" s="27"/>
    </row>
    <row r="34" spans="1:16" ht="12.75" customHeight="1" x14ac:dyDescent="0.15">
      <c r="A34" s="20"/>
      <c r="B34" s="20"/>
      <c r="C34" s="20"/>
      <c r="D34" s="20"/>
      <c r="E34" s="20"/>
      <c r="F34" s="20"/>
      <c r="G34" s="20"/>
      <c r="H34" s="20"/>
      <c r="I34" s="20"/>
      <c r="J34" s="20"/>
      <c r="K34" s="20"/>
      <c r="L34" s="20"/>
      <c r="M34" s="20"/>
      <c r="N34" s="20"/>
      <c r="O34" s="20"/>
      <c r="P34" s="20"/>
    </row>
    <row r="35" spans="1:16" ht="12.75" customHeight="1" x14ac:dyDescent="0.15">
      <c r="A35" s="20"/>
      <c r="B35" s="20"/>
      <c r="C35" s="20"/>
      <c r="D35" s="20"/>
      <c r="E35" s="20"/>
      <c r="F35" s="20"/>
      <c r="G35" s="20"/>
      <c r="H35" s="20"/>
      <c r="I35" s="20"/>
      <c r="J35" s="20"/>
      <c r="K35" s="20"/>
      <c r="L35" s="20"/>
      <c r="M35" s="20"/>
      <c r="N35" s="20"/>
      <c r="O35" s="20"/>
      <c r="P35" s="20"/>
    </row>
    <row r="36" spans="1:16" ht="12.75" customHeight="1" x14ac:dyDescent="0.15">
      <c r="A36" s="20"/>
      <c r="B36" s="20"/>
      <c r="C36" s="20"/>
      <c r="D36" s="20"/>
      <c r="E36" s="20"/>
      <c r="F36" s="20"/>
      <c r="G36" s="20"/>
      <c r="H36" s="20"/>
      <c r="I36" s="20"/>
      <c r="J36" s="20"/>
      <c r="K36" s="20"/>
      <c r="L36" s="20"/>
      <c r="M36" s="20"/>
      <c r="N36" s="20"/>
      <c r="O36" s="20"/>
      <c r="P36" s="20"/>
    </row>
    <row r="37" spans="1:16" ht="12.75" customHeight="1" x14ac:dyDescent="0.15">
      <c r="A37" s="20"/>
      <c r="B37" s="20"/>
      <c r="C37" s="20"/>
      <c r="D37" s="20"/>
      <c r="E37" s="20"/>
      <c r="F37" s="20"/>
      <c r="G37" s="20"/>
      <c r="H37" s="20"/>
      <c r="I37" s="20"/>
      <c r="J37" s="20"/>
      <c r="K37" s="20"/>
      <c r="L37" s="20"/>
      <c r="M37" s="20"/>
      <c r="N37" s="20"/>
      <c r="O37" s="20"/>
      <c r="P37" s="20"/>
    </row>
    <row r="38" spans="1:16" ht="12.75" customHeight="1" x14ac:dyDescent="0.15">
      <c r="A38" s="20"/>
      <c r="B38" s="20"/>
      <c r="C38" s="20"/>
      <c r="D38" s="20"/>
      <c r="E38" s="20"/>
      <c r="F38" s="20"/>
      <c r="G38" s="20"/>
      <c r="H38" s="20"/>
      <c r="I38" s="20"/>
      <c r="J38" s="20"/>
      <c r="K38" s="20"/>
      <c r="L38" s="20"/>
      <c r="M38" s="20"/>
      <c r="N38" s="20"/>
      <c r="O38" s="20"/>
      <c r="P38" s="20"/>
    </row>
  </sheetData>
  <sheetProtection algorithmName="SHA-512" hashValue="ZHRhqeyq3H3tYxLWHtH9ONtjq8oqUcjDyiJs8i1Z5iOqu+qvgSjoSAyP2hQhbTw97ErEXXhGlmu2EBDKOvL7dA==" saltValue="U3SmYiSDpBuihRwDHjRwlw==" spinCount="100000" sheet="1" selectLockedCells="1"/>
  <mergeCells count="36">
    <mergeCell ref="E24:G24"/>
    <mergeCell ref="I24:M24"/>
    <mergeCell ref="O24:P24"/>
    <mergeCell ref="E25:G25"/>
    <mergeCell ref="B31:F32"/>
    <mergeCell ref="I31:I32"/>
    <mergeCell ref="J31:J32"/>
    <mergeCell ref="L31:L32"/>
    <mergeCell ref="M31:P32"/>
    <mergeCell ref="E22:G22"/>
    <mergeCell ref="I22:M22"/>
    <mergeCell ref="O22:P22"/>
    <mergeCell ref="E23:G23"/>
    <mergeCell ref="I23:M23"/>
    <mergeCell ref="O23:P23"/>
    <mergeCell ref="C19:F19"/>
    <mergeCell ref="H19:I19"/>
    <mergeCell ref="L19:L20"/>
    <mergeCell ref="M19:P20"/>
    <mergeCell ref="C20:F20"/>
    <mergeCell ref="H20:I20"/>
    <mergeCell ref="C12:M12"/>
    <mergeCell ref="C13:M13"/>
    <mergeCell ref="C14:M14"/>
    <mergeCell ref="B16:J16"/>
    <mergeCell ref="C17:F17"/>
    <mergeCell ref="H17:I17"/>
    <mergeCell ref="L17:L18"/>
    <mergeCell ref="M17:P18"/>
    <mergeCell ref="C18:F18"/>
    <mergeCell ref="H18:I18"/>
    <mergeCell ref="C11:M11"/>
    <mergeCell ref="B7:M8"/>
    <mergeCell ref="C9:M9"/>
    <mergeCell ref="C10:M10"/>
    <mergeCell ref="B2:N3"/>
  </mergeCells>
  <conditionalFormatting sqref="K15:L15">
    <cfRule type="iconSet" priority="1">
      <iconSet iconSet="3Symbols2">
        <cfvo type="percent" val="0"/>
        <cfvo type="percent" val="33"/>
        <cfvo type="percent" val="67"/>
      </iconSet>
    </cfRule>
  </conditionalFormatting>
  <dataValidations disablePrompts="1" count="1">
    <dataValidation type="list" allowBlank="1" showInputMessage="1" showErrorMessage="1" sqref="H18:H20" xr:uid="{00000000-0002-0000-0000-000000000000}">
      <formula1>#REF!</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34"/>
  <sheetViews>
    <sheetView workbookViewId="0">
      <selection activeCell="P6" sqref="P6"/>
    </sheetView>
  </sheetViews>
  <sheetFormatPr defaultColWidth="10.42578125" defaultRowHeight="12.75" customHeight="1" x14ac:dyDescent="0.15"/>
  <cols>
    <col min="1" max="1" width="7.42578125" style="50" customWidth="1"/>
    <col min="2" max="2" width="3.42578125" style="50" customWidth="1"/>
    <col min="3" max="3" width="8.42578125" style="50" customWidth="1"/>
    <col min="4" max="4" width="10.42578125" style="50" customWidth="1"/>
    <col min="5" max="5" width="7.5703125" style="50" customWidth="1"/>
    <col min="6" max="6" width="12.5703125" style="50" customWidth="1"/>
    <col min="7" max="7" width="14" style="50" customWidth="1"/>
    <col min="8" max="8" width="6" style="50" customWidth="1"/>
    <col min="9" max="9" width="6.7109375" style="50" customWidth="1"/>
    <col min="10" max="10" width="12.28515625" style="50" customWidth="1"/>
    <col min="11" max="11" width="10.42578125" style="50"/>
    <col min="12" max="12" width="12.7109375" style="50" customWidth="1"/>
    <col min="13" max="13" width="11.28515625" style="50" customWidth="1"/>
    <col min="14" max="14" width="12.5703125" style="50" customWidth="1"/>
    <col min="15" max="16384" width="10.42578125" style="50"/>
  </cols>
  <sheetData>
    <row r="1" spans="1:15" ht="12" customHeight="1" x14ac:dyDescent="0.2">
      <c r="A1" s="32"/>
      <c r="B1" s="18"/>
      <c r="C1" s="18"/>
      <c r="D1" s="18"/>
      <c r="E1" s="18"/>
      <c r="F1" s="18"/>
      <c r="G1" s="18"/>
      <c r="H1" s="33"/>
      <c r="I1" s="33"/>
      <c r="J1" s="19"/>
      <c r="K1" s="19"/>
      <c r="L1" s="19"/>
      <c r="M1" s="20"/>
      <c r="N1" s="34"/>
      <c r="O1" s="19"/>
    </row>
    <row r="2" spans="1:15" ht="12" customHeight="1" x14ac:dyDescent="0.15">
      <c r="A2" s="20"/>
      <c r="B2" s="380" t="str">
        <f>Forside!B2</f>
        <v>Standardløsningskatalog for udskiftning af varmeforsyning uden faktura</v>
      </c>
      <c r="C2" s="380"/>
      <c r="D2" s="380"/>
      <c r="E2" s="380"/>
      <c r="F2" s="380"/>
      <c r="G2" s="380"/>
      <c r="H2" s="380"/>
      <c r="I2" s="380"/>
      <c r="J2" s="380"/>
      <c r="K2" s="380"/>
      <c r="L2" s="380"/>
      <c r="M2" s="380"/>
      <c r="N2" s="35"/>
      <c r="O2" s="21"/>
    </row>
    <row r="3" spans="1:15" ht="33.75" customHeight="1" x14ac:dyDescent="0.25">
      <c r="A3" s="36"/>
      <c r="B3" s="380"/>
      <c r="C3" s="380"/>
      <c r="D3" s="380"/>
      <c r="E3" s="380"/>
      <c r="F3" s="380"/>
      <c r="G3" s="380"/>
      <c r="H3" s="380"/>
      <c r="I3" s="380"/>
      <c r="J3" s="380"/>
      <c r="K3" s="380"/>
      <c r="L3" s="380"/>
      <c r="M3" s="380"/>
      <c r="N3" s="21"/>
      <c r="O3" s="21"/>
    </row>
    <row r="4" spans="1:15" ht="10.35" customHeight="1" x14ac:dyDescent="0.25">
      <c r="A4" s="36"/>
      <c r="B4" s="37"/>
      <c r="C4" s="37"/>
      <c r="D4" s="37"/>
      <c r="E4" s="37"/>
      <c r="F4" s="37"/>
      <c r="G4" s="37"/>
      <c r="H4" s="20"/>
      <c r="I4" s="38"/>
      <c r="J4" s="38"/>
      <c r="K4" s="38"/>
      <c r="L4" s="38"/>
      <c r="M4" s="38"/>
      <c r="N4" s="21"/>
      <c r="O4" s="25" t="str">
        <f>Forside!P4</f>
        <v>Vers. 6  15.07.2025</v>
      </c>
    </row>
    <row r="5" spans="1:15" ht="11.25" x14ac:dyDescent="0.15">
      <c r="A5" s="39"/>
      <c r="B5" s="39"/>
      <c r="C5" s="39"/>
      <c r="D5" s="39"/>
      <c r="E5" s="39"/>
      <c r="F5" s="39"/>
      <c r="G5" s="39"/>
      <c r="H5" s="39"/>
      <c r="I5" s="39"/>
      <c r="J5" s="39"/>
      <c r="K5" s="39"/>
      <c r="L5" s="39"/>
      <c r="M5" s="39"/>
      <c r="N5" s="39"/>
      <c r="O5" s="39"/>
    </row>
    <row r="6" spans="1:15" ht="11.25" x14ac:dyDescent="0.15">
      <c r="A6" s="20"/>
      <c r="B6" s="20"/>
      <c r="C6" s="20"/>
      <c r="D6" s="20"/>
      <c r="E6" s="20"/>
      <c r="F6" s="20"/>
      <c r="G6" s="20"/>
      <c r="H6" s="20"/>
      <c r="I6" s="20"/>
      <c r="J6" s="20"/>
      <c r="K6" s="20"/>
      <c r="L6" s="20"/>
      <c r="M6" s="20"/>
      <c r="N6" s="20"/>
      <c r="O6" s="20"/>
    </row>
    <row r="7" spans="1:15" s="297" customFormat="1" ht="6" customHeight="1" x14ac:dyDescent="0.2">
      <c r="A7" s="40"/>
      <c r="B7" s="40"/>
      <c r="C7" s="41"/>
      <c r="D7" s="42"/>
      <c r="E7" s="42"/>
      <c r="F7" s="42"/>
      <c r="G7" s="42"/>
      <c r="H7" s="42"/>
      <c r="I7" s="42"/>
      <c r="J7" s="43"/>
      <c r="K7" s="42"/>
      <c r="L7" s="42"/>
      <c r="M7" s="42"/>
      <c r="N7" s="42"/>
      <c r="O7" s="42"/>
    </row>
    <row r="8" spans="1:15" s="297" customFormat="1" ht="60.75" customHeight="1" x14ac:dyDescent="0.2">
      <c r="A8" s="40"/>
      <c r="B8" s="40"/>
      <c r="C8" s="381" t="s">
        <v>293</v>
      </c>
      <c r="D8" s="381"/>
      <c r="E8" s="381"/>
      <c r="F8" s="381"/>
      <c r="G8" s="381"/>
      <c r="H8" s="381"/>
      <c r="I8" s="381"/>
      <c r="J8" s="381"/>
      <c r="K8" s="381"/>
      <c r="L8" s="381"/>
      <c r="M8" s="381"/>
      <c r="N8" s="381"/>
      <c r="O8" s="42"/>
    </row>
    <row r="9" spans="1:15" ht="162" customHeight="1" x14ac:dyDescent="0.15">
      <c r="A9" s="44"/>
      <c r="B9" s="20"/>
      <c r="C9" s="381"/>
      <c r="D9" s="381"/>
      <c r="E9" s="381"/>
      <c r="F9" s="381"/>
      <c r="G9" s="381"/>
      <c r="H9" s="381"/>
      <c r="I9" s="381"/>
      <c r="J9" s="381"/>
      <c r="K9" s="381"/>
      <c r="L9" s="381"/>
      <c r="M9" s="381"/>
      <c r="N9" s="381"/>
      <c r="O9" s="20"/>
    </row>
    <row r="10" spans="1:15" ht="18.75" x14ac:dyDescent="0.3">
      <c r="A10" s="44"/>
      <c r="B10" s="187">
        <v>1</v>
      </c>
      <c r="C10" s="299" t="s">
        <v>276</v>
      </c>
      <c r="D10" s="20"/>
      <c r="E10" s="20"/>
      <c r="F10" s="20"/>
      <c r="G10" s="20"/>
      <c r="H10" s="20"/>
      <c r="I10" s="20"/>
      <c r="J10" s="20"/>
      <c r="K10" s="20"/>
      <c r="L10" s="20"/>
      <c r="M10" s="20"/>
      <c r="N10" s="20"/>
      <c r="O10" s="20"/>
    </row>
    <row r="11" spans="1:15" ht="54.95" customHeight="1" x14ac:dyDescent="0.25">
      <c r="A11" s="44"/>
      <c r="B11" s="45"/>
      <c r="C11" s="381" t="s">
        <v>286</v>
      </c>
      <c r="D11" s="381"/>
      <c r="E11" s="381"/>
      <c r="F11" s="381"/>
      <c r="G11" s="381"/>
      <c r="H11" s="381"/>
      <c r="I11" s="381"/>
      <c r="J11" s="381"/>
      <c r="K11" s="381"/>
      <c r="L11" s="381"/>
      <c r="M11" s="381"/>
      <c r="N11" s="381"/>
      <c r="O11" s="20"/>
    </row>
    <row r="12" spans="1:15" ht="12.75" customHeight="1" x14ac:dyDescent="0.15">
      <c r="A12" s="44"/>
      <c r="B12" s="20"/>
      <c r="C12" s="20"/>
      <c r="D12" s="20"/>
      <c r="E12" s="20"/>
      <c r="F12" s="20"/>
      <c r="G12" s="20"/>
      <c r="H12" s="20"/>
      <c r="I12" s="20"/>
      <c r="J12" s="20"/>
      <c r="K12" s="20"/>
      <c r="L12" s="20"/>
      <c r="M12" s="20"/>
      <c r="N12" s="20"/>
      <c r="O12" s="20"/>
    </row>
    <row r="13" spans="1:15" ht="18.75" x14ac:dyDescent="0.3">
      <c r="A13" s="44"/>
      <c r="B13" s="187">
        <v>2</v>
      </c>
      <c r="C13" s="299" t="s">
        <v>274</v>
      </c>
      <c r="D13" s="20"/>
      <c r="E13" s="20"/>
      <c r="F13" s="20"/>
      <c r="G13" s="20"/>
      <c r="H13" s="20"/>
      <c r="I13" s="20"/>
      <c r="J13" s="20"/>
      <c r="K13" s="20"/>
      <c r="L13" s="20"/>
      <c r="M13" s="20"/>
      <c r="N13" s="20"/>
      <c r="O13" s="20"/>
    </row>
    <row r="14" spans="1:15" ht="49.5" customHeight="1" x14ac:dyDescent="0.25">
      <c r="A14" s="44"/>
      <c r="B14" s="45"/>
      <c r="C14" s="381" t="s">
        <v>287</v>
      </c>
      <c r="D14" s="381"/>
      <c r="E14" s="381"/>
      <c r="F14" s="381"/>
      <c r="G14" s="381"/>
      <c r="H14" s="381"/>
      <c r="I14" s="381"/>
      <c r="J14" s="381"/>
      <c r="K14" s="381"/>
      <c r="L14" s="381"/>
      <c r="M14" s="381"/>
      <c r="N14" s="381"/>
      <c r="O14" s="20"/>
    </row>
    <row r="15" spans="1:15" ht="12.75" customHeight="1" x14ac:dyDescent="0.3">
      <c r="A15" s="44"/>
      <c r="B15" s="49"/>
      <c r="C15" s="46"/>
      <c r="D15" s="20"/>
      <c r="E15" s="20"/>
      <c r="F15" s="20"/>
      <c r="G15" s="20"/>
      <c r="H15" s="20"/>
      <c r="I15" s="20"/>
      <c r="J15" s="20"/>
      <c r="K15" s="20"/>
      <c r="L15" s="20"/>
      <c r="M15" s="20"/>
      <c r="N15" s="20"/>
      <c r="O15" s="20"/>
    </row>
    <row r="16" spans="1:15" ht="18.75" x14ac:dyDescent="0.3">
      <c r="A16" s="44"/>
      <c r="B16" s="187">
        <v>3</v>
      </c>
      <c r="C16" s="298" t="s">
        <v>275</v>
      </c>
      <c r="D16" s="20"/>
      <c r="E16" s="20"/>
      <c r="F16" s="20"/>
      <c r="G16" s="20"/>
      <c r="H16" s="20"/>
      <c r="I16" s="20"/>
      <c r="J16" s="20"/>
      <c r="K16" s="20"/>
      <c r="L16" s="20"/>
      <c r="M16" s="20"/>
      <c r="N16" s="20"/>
      <c r="O16" s="20"/>
    </row>
    <row r="17" spans="1:15" ht="57.95" customHeight="1" x14ac:dyDescent="0.25">
      <c r="A17" s="44"/>
      <c r="B17" s="45"/>
      <c r="C17" s="381" t="s">
        <v>288</v>
      </c>
      <c r="D17" s="381"/>
      <c r="E17" s="381"/>
      <c r="F17" s="381"/>
      <c r="G17" s="381"/>
      <c r="H17" s="381"/>
      <c r="I17" s="381"/>
      <c r="J17" s="381"/>
      <c r="K17" s="381"/>
      <c r="L17" s="381"/>
      <c r="M17" s="381"/>
      <c r="N17" s="381"/>
      <c r="O17" s="20"/>
    </row>
    <row r="18" spans="1:15" ht="18.95" customHeight="1" x14ac:dyDescent="0.3">
      <c r="A18" s="44"/>
      <c r="B18" s="49"/>
      <c r="C18" s="46"/>
      <c r="D18" s="20"/>
      <c r="E18" s="20"/>
      <c r="F18" s="20"/>
      <c r="G18" s="20"/>
      <c r="H18" s="20"/>
      <c r="I18" s="20"/>
      <c r="J18" s="20"/>
      <c r="K18" s="20"/>
      <c r="L18" s="20"/>
      <c r="M18" s="20"/>
      <c r="N18" s="20"/>
      <c r="O18" s="20"/>
    </row>
    <row r="19" spans="1:15" ht="16.5" customHeight="1" x14ac:dyDescent="0.3">
      <c r="A19" s="44"/>
      <c r="B19" s="20"/>
      <c r="C19" s="298"/>
      <c r="D19" s="20"/>
      <c r="E19" s="20"/>
      <c r="F19" s="20"/>
      <c r="G19" s="20"/>
      <c r="H19" s="20"/>
      <c r="I19" s="20"/>
      <c r="J19" s="20"/>
      <c r="K19" s="20"/>
      <c r="L19" s="20"/>
      <c r="M19" s="20"/>
      <c r="N19" s="20"/>
      <c r="O19" s="20"/>
    </row>
    <row r="20" spans="1:15" ht="63.6" customHeight="1" x14ac:dyDescent="0.15">
      <c r="A20" s="44"/>
      <c r="B20" s="20"/>
      <c r="C20" s="379"/>
      <c r="D20" s="379"/>
      <c r="E20" s="379"/>
      <c r="F20" s="379"/>
      <c r="G20" s="379"/>
      <c r="H20" s="379"/>
      <c r="I20" s="379"/>
      <c r="J20" s="379"/>
      <c r="K20" s="379"/>
      <c r="L20" s="379"/>
      <c r="M20" s="379"/>
      <c r="N20" s="379"/>
      <c r="O20" s="20"/>
    </row>
    <row r="21" spans="1:15" ht="18.600000000000001" customHeight="1" x14ac:dyDescent="0.3">
      <c r="A21" s="44"/>
      <c r="B21" s="49"/>
      <c r="C21" s="46"/>
      <c r="D21" s="20"/>
      <c r="E21" s="20"/>
      <c r="F21" s="20"/>
      <c r="G21" s="20"/>
      <c r="H21" s="20"/>
      <c r="I21" s="20"/>
      <c r="J21" s="20"/>
      <c r="K21" s="20"/>
      <c r="L21" s="20"/>
      <c r="M21" s="20"/>
      <c r="N21" s="20"/>
      <c r="O21" s="20"/>
    </row>
    <row r="22" spans="1:15" ht="18" customHeight="1" x14ac:dyDescent="0.3">
      <c r="A22" s="44"/>
      <c r="B22" s="20"/>
      <c r="C22" s="298"/>
      <c r="D22" s="20"/>
      <c r="E22" s="20"/>
      <c r="F22" s="20"/>
      <c r="G22" s="20"/>
      <c r="H22" s="20"/>
      <c r="I22" s="20"/>
      <c r="J22" s="20"/>
      <c r="K22" s="20"/>
      <c r="L22" s="20"/>
      <c r="M22" s="20"/>
      <c r="N22" s="20"/>
      <c r="O22" s="20"/>
    </row>
    <row r="23" spans="1:15" ht="89.1" customHeight="1" x14ac:dyDescent="0.15">
      <c r="A23" s="44"/>
      <c r="B23" s="20"/>
      <c r="C23" s="379"/>
      <c r="D23" s="379"/>
      <c r="E23" s="379"/>
      <c r="F23" s="379"/>
      <c r="G23" s="379"/>
      <c r="H23" s="379"/>
      <c r="I23" s="379"/>
      <c r="J23" s="379"/>
      <c r="K23" s="379"/>
      <c r="L23" s="379"/>
      <c r="M23" s="379"/>
      <c r="N23" s="379"/>
      <c r="O23" s="20"/>
    </row>
    <row r="24" spans="1:15" ht="12.75" customHeight="1" x14ac:dyDescent="0.3">
      <c r="A24" s="44"/>
      <c r="B24" s="49"/>
      <c r="C24" s="46"/>
      <c r="D24" s="20"/>
      <c r="E24" s="20"/>
      <c r="F24" s="20"/>
      <c r="G24" s="20"/>
      <c r="H24" s="20"/>
      <c r="I24" s="20"/>
      <c r="J24" s="20"/>
      <c r="K24" s="20"/>
      <c r="L24" s="20"/>
      <c r="M24" s="20"/>
      <c r="N24" s="20"/>
      <c r="O24" s="20"/>
    </row>
    <row r="25" spans="1:15" ht="18.75" x14ac:dyDescent="0.3">
      <c r="A25" s="20"/>
      <c r="B25" s="20"/>
      <c r="C25" s="298"/>
      <c r="D25" s="20"/>
      <c r="E25" s="20"/>
      <c r="F25" s="20"/>
      <c r="G25" s="20"/>
      <c r="H25" s="20"/>
      <c r="I25" s="20"/>
      <c r="J25" s="20"/>
      <c r="K25" s="20"/>
      <c r="L25" s="20"/>
      <c r="M25" s="20"/>
      <c r="N25" s="20"/>
      <c r="O25" s="20"/>
    </row>
    <row r="26" spans="1:15" ht="67.5" customHeight="1" x14ac:dyDescent="0.15">
      <c r="A26" s="20"/>
      <c r="B26" s="20"/>
      <c r="C26" s="379"/>
      <c r="D26" s="379"/>
      <c r="E26" s="379"/>
      <c r="F26" s="379"/>
      <c r="G26" s="379"/>
      <c r="H26" s="379"/>
      <c r="I26" s="379"/>
      <c r="J26" s="379"/>
      <c r="K26" s="379"/>
      <c r="L26" s="379"/>
      <c r="M26" s="379"/>
      <c r="N26" s="379"/>
      <c r="O26" s="20"/>
    </row>
    <row r="27" spans="1:15" ht="12.75" customHeight="1" x14ac:dyDescent="0.15">
      <c r="A27" s="20"/>
      <c r="B27" s="20"/>
      <c r="C27" s="20"/>
      <c r="D27" s="20"/>
      <c r="E27" s="20"/>
      <c r="F27" s="20"/>
      <c r="G27" s="20"/>
      <c r="H27" s="20"/>
      <c r="I27" s="20"/>
      <c r="J27" s="20"/>
      <c r="K27" s="20"/>
      <c r="L27" s="20"/>
      <c r="M27" s="20"/>
      <c r="N27" s="20"/>
      <c r="O27" s="20"/>
    </row>
    <row r="28" spans="1:15" ht="12.75" customHeight="1" x14ac:dyDescent="0.15">
      <c r="A28" s="20"/>
      <c r="B28" s="20"/>
      <c r="C28" s="20"/>
      <c r="D28" s="20"/>
      <c r="E28" s="20"/>
      <c r="F28" s="20"/>
      <c r="G28" s="20"/>
      <c r="H28" s="20"/>
      <c r="I28" s="20"/>
      <c r="J28" s="20"/>
      <c r="K28" s="20"/>
      <c r="L28" s="20"/>
      <c r="M28" s="20"/>
      <c r="N28" s="20"/>
      <c r="O28" s="20"/>
    </row>
    <row r="29" spans="1:15" ht="12.75" customHeight="1" x14ac:dyDescent="0.15">
      <c r="A29" s="20"/>
      <c r="B29" s="20"/>
      <c r="C29" s="20"/>
      <c r="D29" s="20"/>
      <c r="E29" s="20"/>
      <c r="F29" s="20"/>
      <c r="G29" s="20"/>
      <c r="H29" s="20"/>
      <c r="I29" s="20"/>
      <c r="J29" s="20"/>
      <c r="K29" s="20"/>
      <c r="L29" s="20"/>
      <c r="M29" s="20"/>
      <c r="N29" s="20"/>
      <c r="O29" s="20"/>
    </row>
    <row r="30" spans="1:15" ht="12.75" customHeight="1" x14ac:dyDescent="0.15">
      <c r="A30" s="20"/>
      <c r="B30" s="20"/>
      <c r="C30" s="20"/>
      <c r="D30" s="20"/>
      <c r="E30" s="20"/>
      <c r="F30" s="20"/>
      <c r="G30" s="20"/>
      <c r="H30" s="20"/>
      <c r="I30" s="20"/>
      <c r="J30" s="20"/>
      <c r="K30" s="20"/>
      <c r="L30" s="20"/>
      <c r="M30" s="20"/>
      <c r="N30" s="20"/>
      <c r="O30" s="20"/>
    </row>
    <row r="31" spans="1:15" ht="12.75" customHeight="1" x14ac:dyDescent="0.15">
      <c r="A31" s="20"/>
      <c r="B31" s="20"/>
      <c r="C31" s="20"/>
      <c r="D31" s="20"/>
      <c r="E31" s="20"/>
      <c r="F31" s="20"/>
      <c r="G31" s="20"/>
      <c r="H31" s="20"/>
      <c r="I31" s="20"/>
      <c r="J31" s="20"/>
      <c r="K31" s="20"/>
      <c r="L31" s="20"/>
      <c r="M31" s="20"/>
      <c r="N31" s="20"/>
      <c r="O31" s="20"/>
    </row>
    <row r="32" spans="1:15" ht="12.75" customHeight="1" x14ac:dyDescent="0.15">
      <c r="A32" s="20"/>
      <c r="B32" s="20"/>
      <c r="C32" s="20"/>
      <c r="D32" s="20"/>
      <c r="E32" s="20"/>
      <c r="F32" s="20"/>
      <c r="G32" s="20"/>
      <c r="H32" s="20"/>
      <c r="I32" s="20"/>
      <c r="J32" s="20"/>
      <c r="K32" s="20"/>
      <c r="L32" s="20"/>
      <c r="M32" s="20"/>
      <c r="N32" s="20"/>
      <c r="O32" s="20"/>
    </row>
    <row r="33" spans="1:15" ht="12.75" customHeight="1" x14ac:dyDescent="0.15">
      <c r="A33" s="20"/>
      <c r="B33" s="20"/>
      <c r="C33" s="20"/>
      <c r="D33" s="20"/>
      <c r="E33" s="20"/>
      <c r="F33" s="20"/>
      <c r="G33" s="20"/>
      <c r="H33" s="20"/>
      <c r="I33" s="20"/>
      <c r="J33" s="20"/>
      <c r="K33" s="20"/>
      <c r="L33" s="20"/>
      <c r="M33" s="20"/>
      <c r="N33" s="20"/>
      <c r="O33" s="20"/>
    </row>
    <row r="34" spans="1:15" ht="12.75" customHeight="1" x14ac:dyDescent="0.15">
      <c r="A34" s="20"/>
      <c r="B34" s="20"/>
      <c r="C34" s="20"/>
      <c r="D34" s="20"/>
      <c r="E34" s="20"/>
      <c r="F34" s="20"/>
      <c r="G34" s="20"/>
      <c r="H34" s="20"/>
      <c r="I34" s="20"/>
      <c r="J34" s="20"/>
      <c r="K34" s="20"/>
      <c r="L34" s="20"/>
      <c r="M34" s="20"/>
      <c r="N34" s="20"/>
      <c r="O34" s="20"/>
    </row>
  </sheetData>
  <sheetProtection algorithmName="SHA-512" hashValue="VBx7cMe97iHCjQTbXe/ERjYQWowI+sPezd9/5X7ppxmjUiJQLYrUrqk5vCpEiWJEncx0slbgyrYQt8Mw+DQ2OA==" saltValue="xSJar1G/nt/iJhBUQ9OBsA==" spinCount="100000" sheet="1" selectLockedCells="1"/>
  <mergeCells count="8">
    <mergeCell ref="C26:N26"/>
    <mergeCell ref="B2:M3"/>
    <mergeCell ref="C17:N17"/>
    <mergeCell ref="C20:N20"/>
    <mergeCell ref="C23:N23"/>
    <mergeCell ref="C11:N11"/>
    <mergeCell ref="C14:N14"/>
    <mergeCell ref="C8:N9"/>
  </mergeCells>
  <hyperlinks>
    <hyperlink ref="B10:B11" location="'1'!A1" display="'1'!A1" xr:uid="{00000000-0004-0000-0100-000000000000}"/>
    <hyperlink ref="C10" location="'Tiltag 1'!A1" display="Tiltag 1 Udskiftning af varmeforsyning - Dokumenteret forbrug" xr:uid="{00000000-0004-0000-0100-000001000000}"/>
    <hyperlink ref="B13:B14" location="'1'!A1" display="'1'!A1" xr:uid="{00000000-0004-0000-0100-000002000000}"/>
    <hyperlink ref="C13" location="'Tiltag 2'!A1" display="Tiltag 2 Udskiftning af varmeforsyning - Energiforbrug beregnet via nøgletal " xr:uid="{00000000-0004-0000-0100-000003000000}"/>
    <hyperlink ref="B16:B17" location="'1'!A1" display="'1'!A1" xr:uid="{00000000-0004-0000-0100-000004000000}"/>
    <hyperlink ref="C16" location="'Tiltag 3'!A1" display="Tiltag 3 Udskifning af brændselskedler - Konventionelle grisestalde " xr:uid="{00000000-0004-0000-0100-000005000000}"/>
    <hyperlink ref="B10" location="'Tiltag 1'!A1" display="'Tiltag 1'!A1" xr:uid="{00000000-0004-0000-0100-000006000000}"/>
    <hyperlink ref="B13" location="'Tiltag 2'!A1" display="'Tiltag 2'!A1" xr:uid="{00000000-0004-0000-0100-000007000000}"/>
    <hyperlink ref="B16" location="'Tiltag 3'!A1" display="'Tiltag 3'!A1" xr:uid="{00000000-0004-0000-0100-000008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9"/>
  </sheetPr>
  <dimension ref="A1:T51"/>
  <sheetViews>
    <sheetView topLeftCell="A7" zoomScaleNormal="100" workbookViewId="0">
      <selection activeCell="F30" activeCellId="10" sqref="H9 H10 H11 F17:G17 F18:G18 F19:G19 F22:G22 F23:G23 F24:G24 F29:G29 F30:G30"/>
    </sheetView>
  </sheetViews>
  <sheetFormatPr defaultColWidth="9.140625" defaultRowHeight="15" x14ac:dyDescent="0.25"/>
  <cols>
    <col min="1" max="1" width="9.140625" style="92" customWidth="1"/>
    <col min="2" max="2" width="7.42578125" style="92" customWidth="1"/>
    <col min="3" max="3" width="19.140625" style="92" customWidth="1"/>
    <col min="4" max="4" width="35.5703125" style="92" customWidth="1"/>
    <col min="5" max="5" width="16.5703125" style="92" customWidth="1"/>
    <col min="6" max="6" width="9.28515625" style="92" customWidth="1"/>
    <col min="7" max="7" width="19.5703125" style="92" customWidth="1"/>
    <col min="8" max="8" width="9.28515625" style="92" customWidth="1"/>
    <col min="9" max="9" width="7.28515625" style="92" customWidth="1"/>
    <col min="10" max="11" width="9.28515625" style="92"/>
    <col min="12" max="12" width="7.28515625" style="92" customWidth="1"/>
    <col min="13" max="13" width="9.28515625" style="92"/>
    <col min="14" max="14" width="21.7109375" style="92" customWidth="1"/>
    <col min="15" max="15" width="10.42578125" style="92" customWidth="1"/>
    <col min="16" max="16" width="12.5703125" style="92" customWidth="1"/>
    <col min="17" max="17" width="22.28515625" style="92" customWidth="1"/>
    <col min="18" max="16384" width="9.140625" style="92"/>
  </cols>
  <sheetData>
    <row r="1" spans="1:17" x14ac:dyDescent="0.25">
      <c r="A1" s="64"/>
      <c r="B1" s="64"/>
      <c r="C1" s="64"/>
      <c r="D1" s="64"/>
      <c r="E1" s="64"/>
      <c r="F1" s="64"/>
      <c r="G1" s="64"/>
      <c r="H1" s="64"/>
      <c r="I1" s="64"/>
      <c r="J1" s="64"/>
      <c r="K1" s="64"/>
      <c r="L1" s="64"/>
      <c r="M1" s="64"/>
      <c r="N1" s="64"/>
      <c r="O1" s="64"/>
      <c r="P1" s="64"/>
      <c r="Q1" s="64"/>
    </row>
    <row r="2" spans="1:17" ht="15" customHeight="1" x14ac:dyDescent="0.25">
      <c r="A2" s="32"/>
      <c r="B2" s="393"/>
      <c r="C2" s="393"/>
      <c r="D2" s="394"/>
      <c r="E2" s="63"/>
      <c r="F2" s="63"/>
      <c r="G2" s="63"/>
      <c r="H2" s="63"/>
      <c r="I2" s="20"/>
      <c r="J2" s="20"/>
      <c r="K2" s="19"/>
      <c r="L2" s="34"/>
      <c r="M2" s="19"/>
      <c r="N2" s="34"/>
      <c r="O2" s="19"/>
      <c r="P2" s="19"/>
      <c r="Q2" s="64"/>
    </row>
    <row r="3" spans="1:17" ht="15" customHeight="1" x14ac:dyDescent="0.25">
      <c r="A3" s="20"/>
      <c r="B3" s="393"/>
      <c r="C3" s="393"/>
      <c r="D3" s="394"/>
      <c r="E3" s="63"/>
      <c r="F3" s="63"/>
      <c r="G3" s="63"/>
      <c r="H3" s="63"/>
      <c r="I3" s="20"/>
      <c r="J3" s="20"/>
      <c r="K3" s="21"/>
      <c r="L3" s="21"/>
      <c r="M3" s="65"/>
      <c r="N3" s="21"/>
      <c r="O3" s="21"/>
      <c r="P3" s="21"/>
      <c r="Q3" s="64"/>
    </row>
    <row r="4" spans="1:17" ht="18" x14ac:dyDescent="0.25">
      <c r="A4" s="36"/>
      <c r="B4" s="23" t="str">
        <f>Beskrivelse!C10</f>
        <v xml:space="preserve">Tiltag 1 Udskiftning af varmeforsyning - rumopvarmning og brugsvand </v>
      </c>
      <c r="C4" s="66"/>
      <c r="D4" s="20"/>
      <c r="E4" s="20"/>
      <c r="F4" s="20"/>
      <c r="G4" s="20"/>
      <c r="H4" s="20"/>
      <c r="I4" s="20"/>
      <c r="J4" s="20"/>
      <c r="K4" s="20"/>
      <c r="L4" s="21"/>
      <c r="M4" s="65"/>
      <c r="N4" s="21"/>
      <c r="O4" s="21"/>
      <c r="P4" s="25"/>
      <c r="Q4" s="64" t="str">
        <f>Forside!P4</f>
        <v>Vers. 6  15.07.2025</v>
      </c>
    </row>
    <row r="5" spans="1:17" x14ac:dyDescent="0.25">
      <c r="A5" s="39"/>
      <c r="B5" s="39"/>
      <c r="C5" s="39"/>
      <c r="D5" s="39"/>
      <c r="E5" s="39"/>
      <c r="F5" s="39"/>
      <c r="G5" s="39"/>
      <c r="H5" s="39"/>
      <c r="I5" s="39"/>
      <c r="J5" s="39"/>
      <c r="K5" s="39"/>
      <c r="L5" s="39"/>
      <c r="M5" s="39"/>
      <c r="N5" s="39"/>
      <c r="O5" s="39"/>
      <c r="P5" s="39"/>
      <c r="Q5" s="39"/>
    </row>
    <row r="6" spans="1:17" x14ac:dyDescent="0.25">
      <c r="A6" s="20"/>
      <c r="B6" s="67"/>
      <c r="C6" s="20"/>
      <c r="D6" s="20"/>
      <c r="E6" s="20"/>
      <c r="F6" s="20"/>
      <c r="G6" s="20"/>
      <c r="H6" s="20"/>
      <c r="I6" s="20"/>
      <c r="J6" s="20"/>
      <c r="K6" s="20"/>
      <c r="L6" s="20"/>
      <c r="M6" s="20"/>
      <c r="N6" s="20"/>
      <c r="O6" s="20"/>
      <c r="P6" s="20"/>
      <c r="Q6" s="64"/>
    </row>
    <row r="7" spans="1:17" ht="15" customHeight="1" x14ac:dyDescent="0.25">
      <c r="A7" s="20"/>
      <c r="B7" s="395" t="s">
        <v>6</v>
      </c>
      <c r="C7" s="395"/>
      <c r="D7" s="395"/>
      <c r="E7" s="395"/>
      <c r="F7" s="395"/>
      <c r="G7" s="395"/>
      <c r="H7" s="395"/>
      <c r="I7" s="395"/>
      <c r="J7" s="395"/>
      <c r="K7" s="395"/>
      <c r="L7" s="20"/>
      <c r="M7" s="20"/>
      <c r="N7" s="20"/>
      <c r="O7" s="20"/>
      <c r="P7" s="20"/>
      <c r="Q7" s="64"/>
    </row>
    <row r="8" spans="1:17" ht="15" customHeight="1" x14ac:dyDescent="0.25">
      <c r="A8" s="20"/>
      <c r="B8" s="395"/>
      <c r="C8" s="395"/>
      <c r="D8" s="395"/>
      <c r="E8" s="395"/>
      <c r="F8" s="395"/>
      <c r="G8" s="395"/>
      <c r="H8" s="395"/>
      <c r="I8" s="395"/>
      <c r="J8" s="395"/>
      <c r="K8" s="395"/>
      <c r="L8" s="68"/>
      <c r="M8" s="69"/>
      <c r="N8" s="69"/>
      <c r="O8" s="20"/>
      <c r="P8" s="20"/>
      <c r="Q8" s="64"/>
    </row>
    <row r="9" spans="1:17" ht="15" customHeight="1" x14ac:dyDescent="0.25">
      <c r="A9" s="20"/>
      <c r="B9" s="457" t="s">
        <v>7</v>
      </c>
      <c r="C9" s="458" t="s">
        <v>290</v>
      </c>
      <c r="D9" s="458"/>
      <c r="E9" s="458"/>
      <c r="F9" s="458"/>
      <c r="G9" s="266"/>
      <c r="H9" s="461"/>
      <c r="I9" s="62">
        <f>IF(H9="",0,IF(H9=M9,1,-1))</f>
        <v>0</v>
      </c>
      <c r="J9" s="266"/>
      <c r="K9" s="268"/>
      <c r="L9" s="259"/>
      <c r="M9" s="62" t="s">
        <v>9</v>
      </c>
      <c r="N9" s="259"/>
      <c r="O9" s="72"/>
      <c r="P9" s="72"/>
      <c r="Q9" s="64"/>
    </row>
    <row r="10" spans="1:17" x14ac:dyDescent="0.25">
      <c r="A10" s="20"/>
      <c r="B10" s="457" t="s">
        <v>7</v>
      </c>
      <c r="C10" s="458" t="s">
        <v>277</v>
      </c>
      <c r="D10" s="458"/>
      <c r="E10" s="458"/>
      <c r="F10" s="458"/>
      <c r="G10" s="266"/>
      <c r="H10" s="461"/>
      <c r="I10" s="62">
        <f>IF(H10="",0,IF(H10=M10,1,-1))</f>
        <v>0</v>
      </c>
      <c r="J10" s="266"/>
      <c r="K10" s="268"/>
      <c r="L10" s="259"/>
      <c r="M10" s="62" t="s">
        <v>8</v>
      </c>
      <c r="N10" s="259"/>
      <c r="O10" s="72"/>
      <c r="P10" s="72"/>
      <c r="Q10" s="64"/>
    </row>
    <row r="11" spans="1:17" x14ac:dyDescent="0.25">
      <c r="A11" s="20"/>
      <c r="B11" s="457" t="s">
        <v>7</v>
      </c>
      <c r="C11" s="459" t="s">
        <v>282</v>
      </c>
      <c r="D11" s="460"/>
      <c r="E11" s="460"/>
      <c r="F11" s="460"/>
      <c r="G11" s="247"/>
      <c r="H11" s="461"/>
      <c r="I11" s="62">
        <f>IF(H11="",0,IF(H11=M11,1,-1))</f>
        <v>0</v>
      </c>
      <c r="J11" s="247"/>
      <c r="K11" s="269"/>
      <c r="L11" s="259"/>
      <c r="M11" s="62" t="s">
        <v>8</v>
      </c>
      <c r="N11" s="259"/>
      <c r="O11" s="72"/>
      <c r="P11" s="72"/>
      <c r="Q11" s="64"/>
    </row>
    <row r="12" spans="1:17" x14ac:dyDescent="0.25">
      <c r="A12" s="20"/>
      <c r="B12" s="85"/>
      <c r="C12" s="248"/>
      <c r="D12" s="248"/>
      <c r="E12" s="248"/>
      <c r="F12" s="248"/>
      <c r="G12" s="248"/>
      <c r="H12" s="248"/>
      <c r="I12" s="248"/>
      <c r="J12" s="248"/>
      <c r="K12" s="248"/>
      <c r="L12" s="248"/>
      <c r="M12" s="249" t="s">
        <v>8</v>
      </c>
      <c r="N12" s="248"/>
      <c r="O12" s="20"/>
      <c r="P12" s="20"/>
      <c r="Q12" s="64"/>
    </row>
    <row r="13" spans="1:17" ht="29.25" x14ac:dyDescent="0.25">
      <c r="A13" s="20"/>
      <c r="B13" s="252" t="str">
        <f>IF(G13=0,"Spørgsmål om afgrænsning er ikke besvaret",IF(G13=1,"Projektet er omfattet af standardløsningen","Projektet er IKKE omfattet af standardløsningen"))</f>
        <v>Spørgsmål om afgrænsning er ikke besvaret</v>
      </c>
      <c r="C13" s="73"/>
      <c r="D13" s="73"/>
      <c r="E13" s="300" t="s">
        <v>39</v>
      </c>
      <c r="F13" s="301"/>
      <c r="G13" s="267">
        <f>MIN(I9:I11)</f>
        <v>0</v>
      </c>
      <c r="H13" s="64"/>
      <c r="I13" s="20"/>
      <c r="J13" s="20"/>
      <c r="K13" s="20"/>
      <c r="L13" s="20"/>
      <c r="M13" s="20"/>
      <c r="N13" s="20"/>
      <c r="O13" s="20"/>
      <c r="P13" s="20"/>
      <c r="Q13" s="64"/>
    </row>
    <row r="14" spans="1:17" ht="22.5" x14ac:dyDescent="0.3">
      <c r="A14" s="20"/>
      <c r="B14" s="74"/>
      <c r="C14" s="20"/>
      <c r="D14" s="20"/>
      <c r="E14" s="20"/>
      <c r="F14" s="20"/>
      <c r="G14" s="20"/>
      <c r="H14" s="20"/>
      <c r="I14" s="75"/>
      <c r="J14" s="75"/>
      <c r="K14" s="75"/>
      <c r="L14" s="75"/>
      <c r="M14" s="75"/>
      <c r="N14" s="75"/>
      <c r="O14" s="75"/>
      <c r="P14" s="75"/>
      <c r="Q14" s="64"/>
    </row>
    <row r="15" spans="1:17" ht="22.5" x14ac:dyDescent="0.3">
      <c r="A15" s="20"/>
      <c r="B15" s="397" t="s">
        <v>10</v>
      </c>
      <c r="C15" s="397"/>
      <c r="D15" s="397"/>
      <c r="E15" s="397"/>
      <c r="F15" s="397"/>
      <c r="G15" s="397"/>
      <c r="H15" s="397"/>
      <c r="I15" s="20"/>
      <c r="J15" s="153" t="s">
        <v>64</v>
      </c>
      <c r="K15" s="75"/>
      <c r="L15" s="75"/>
      <c r="M15" s="75"/>
      <c r="N15" s="75"/>
      <c r="O15" s="75"/>
      <c r="P15" s="75"/>
      <c r="Q15" s="64"/>
    </row>
    <row r="16" spans="1:17" ht="22.5" x14ac:dyDescent="0.3">
      <c r="A16" s="20"/>
      <c r="B16" s="462">
        <v>1</v>
      </c>
      <c r="C16" s="463" t="s">
        <v>181</v>
      </c>
      <c r="D16" s="464"/>
      <c r="E16" s="464"/>
      <c r="F16" s="76"/>
      <c r="G16" s="76"/>
      <c r="H16" s="76"/>
      <c r="I16" s="20"/>
      <c r="J16" s="75"/>
      <c r="K16" s="75"/>
      <c r="L16" s="75"/>
      <c r="M16" s="75"/>
      <c r="N16" s="75"/>
      <c r="O16" s="75"/>
      <c r="P16" s="75"/>
      <c r="Q16" s="64"/>
    </row>
    <row r="17" spans="1:20" ht="22.5" x14ac:dyDescent="0.3">
      <c r="A17" s="20"/>
      <c r="B17" s="457" t="s">
        <v>41</v>
      </c>
      <c r="C17" s="465" t="s">
        <v>294</v>
      </c>
      <c r="D17" s="465"/>
      <c r="E17" s="466"/>
      <c r="F17" s="399"/>
      <c r="G17" s="400"/>
      <c r="H17" s="79"/>
      <c r="I17" s="20"/>
      <c r="J17" s="75" t="s">
        <v>64</v>
      </c>
      <c r="K17" s="75"/>
      <c r="L17" s="75"/>
      <c r="M17" s="75"/>
      <c r="N17" s="75"/>
      <c r="O17" s="75"/>
      <c r="P17" s="75"/>
      <c r="Q17" s="64"/>
    </row>
    <row r="18" spans="1:20" ht="23.1" customHeight="1" x14ac:dyDescent="0.3">
      <c r="A18" s="81"/>
      <c r="B18" s="457" t="s">
        <v>40</v>
      </c>
      <c r="C18" s="467" t="s">
        <v>295</v>
      </c>
      <c r="D18" s="467"/>
      <c r="E18" s="468"/>
      <c r="F18" s="385"/>
      <c r="G18" s="385"/>
      <c r="H18" s="79"/>
      <c r="I18" s="20"/>
      <c r="J18" s="75"/>
      <c r="K18" s="75"/>
      <c r="L18" s="75"/>
      <c r="M18" s="75"/>
      <c r="N18" s="75"/>
      <c r="O18" s="75"/>
      <c r="P18" s="75"/>
      <c r="Q18" s="83"/>
    </row>
    <row r="19" spans="1:20" ht="23.1" customHeight="1" x14ac:dyDescent="0.3">
      <c r="A19" s="20"/>
      <c r="B19" s="469" t="s">
        <v>180</v>
      </c>
      <c r="C19" s="470" t="s">
        <v>102</v>
      </c>
      <c r="D19" s="469"/>
      <c r="E19" s="469"/>
      <c r="F19" s="396"/>
      <c r="G19" s="396"/>
      <c r="H19" s="79"/>
      <c r="I19" s="81"/>
      <c r="J19" s="75"/>
      <c r="K19" s="75"/>
      <c r="L19" s="75"/>
      <c r="M19" s="75"/>
      <c r="N19" s="75"/>
      <c r="O19" s="75"/>
      <c r="P19" s="75"/>
      <c r="Q19" s="64"/>
    </row>
    <row r="20" spans="1:20" ht="15" customHeight="1" x14ac:dyDescent="0.3">
      <c r="A20" s="20"/>
      <c r="B20" s="457"/>
      <c r="C20" s="471"/>
      <c r="D20" s="471"/>
      <c r="E20" s="472"/>
      <c r="F20" s="109"/>
      <c r="G20" s="109"/>
      <c r="H20" s="109"/>
      <c r="I20" s="81"/>
      <c r="J20" s="75"/>
      <c r="K20" s="75"/>
      <c r="L20" s="75"/>
      <c r="M20" s="75"/>
      <c r="N20" s="75"/>
      <c r="O20" s="75"/>
      <c r="P20" s="75"/>
      <c r="Q20" s="64"/>
    </row>
    <row r="21" spans="1:20" ht="15" customHeight="1" x14ac:dyDescent="0.3">
      <c r="A21" s="20"/>
      <c r="B21" s="462">
        <v>2</v>
      </c>
      <c r="C21" s="463" t="s">
        <v>178</v>
      </c>
      <c r="D21" s="471"/>
      <c r="E21" s="472"/>
      <c r="F21" s="398"/>
      <c r="G21" s="398"/>
      <c r="H21" s="110"/>
      <c r="I21" s="81"/>
      <c r="J21" s="75"/>
      <c r="K21" s="75"/>
      <c r="L21" s="75"/>
      <c r="M21" s="75"/>
      <c r="N21" s="75"/>
      <c r="O21" s="75"/>
      <c r="P21" s="75"/>
      <c r="Q21" s="64"/>
    </row>
    <row r="22" spans="1:20" ht="23.1" customHeight="1" x14ac:dyDescent="0.3">
      <c r="A22" s="20"/>
      <c r="B22" s="473" t="s">
        <v>179</v>
      </c>
      <c r="C22" s="460" t="s">
        <v>238</v>
      </c>
      <c r="D22" s="460"/>
      <c r="E22" s="474"/>
      <c r="F22" s="386"/>
      <c r="G22" s="386"/>
      <c r="H22" s="110"/>
      <c r="I22" s="81"/>
      <c r="J22" s="75"/>
      <c r="K22" s="75"/>
      <c r="L22" s="75"/>
      <c r="M22" s="75"/>
      <c r="N22" s="75"/>
      <c r="O22" s="75"/>
      <c r="P22" s="75"/>
      <c r="Q22" s="64"/>
    </row>
    <row r="23" spans="1:20" ht="23.1" customHeight="1" x14ac:dyDescent="0.3">
      <c r="A23" s="20"/>
      <c r="B23" s="473" t="s">
        <v>182</v>
      </c>
      <c r="C23" s="475" t="s">
        <v>278</v>
      </c>
      <c r="D23" s="475"/>
      <c r="E23" s="476"/>
      <c r="F23" s="385"/>
      <c r="G23" s="385"/>
      <c r="H23" s="110"/>
      <c r="I23" s="81"/>
      <c r="J23" s="75"/>
      <c r="K23" s="75"/>
      <c r="L23" s="75"/>
      <c r="M23" s="75"/>
      <c r="N23" s="75"/>
      <c r="O23" s="75"/>
      <c r="P23" s="75"/>
      <c r="Q23" s="64"/>
    </row>
    <row r="24" spans="1:20" s="158" customFormat="1" ht="23.1" customHeight="1" x14ac:dyDescent="0.25">
      <c r="A24" s="20"/>
      <c r="B24" s="457" t="s">
        <v>183</v>
      </c>
      <c r="C24" s="467" t="s">
        <v>272</v>
      </c>
      <c r="D24" s="467"/>
      <c r="E24" s="468"/>
      <c r="F24" s="385"/>
      <c r="G24" s="385"/>
      <c r="H24" s="110"/>
      <c r="I24" s="81"/>
      <c r="J24" s="84"/>
      <c r="K24" s="64"/>
      <c r="L24" s="64"/>
      <c r="M24" s="64"/>
      <c r="N24" s="64"/>
      <c r="O24" s="64"/>
      <c r="P24" s="20"/>
      <c r="Q24" s="108"/>
      <c r="S24" s="92"/>
      <c r="T24" s="92"/>
    </row>
    <row r="25" spans="1:20" s="158" customFormat="1" ht="27" customHeight="1" x14ac:dyDescent="0.25">
      <c r="A25" s="20"/>
      <c r="B25" s="457"/>
      <c r="C25" s="471"/>
      <c r="D25" s="471"/>
      <c r="E25" s="472"/>
      <c r="F25" s="221"/>
      <c r="G25" s="221"/>
      <c r="H25" s="110"/>
      <c r="I25" s="81"/>
      <c r="J25" s="84"/>
      <c r="K25" s="64"/>
      <c r="L25" s="64"/>
      <c r="M25" s="64"/>
      <c r="N25" s="64"/>
      <c r="O25" s="64"/>
      <c r="P25" s="20"/>
      <c r="Q25" s="108"/>
      <c r="S25" s="92"/>
      <c r="T25" s="92"/>
    </row>
    <row r="26" spans="1:20" x14ac:dyDescent="0.25">
      <c r="A26" s="20"/>
      <c r="B26" s="477"/>
      <c r="C26" s="467" t="str">
        <f>IF(F21="Kul/koks","Normvirkningsgrad","")</f>
        <v/>
      </c>
      <c r="D26" s="467"/>
      <c r="E26" s="467"/>
      <c r="F26" s="109"/>
      <c r="G26" s="109"/>
      <c r="H26" s="79"/>
      <c r="I26" s="20"/>
      <c r="J26" s="85"/>
      <c r="K26" s="86"/>
      <c r="L26" s="86"/>
      <c r="M26" s="86"/>
      <c r="N26" s="86"/>
      <c r="O26" s="20"/>
      <c r="P26" s="20"/>
      <c r="Q26" s="64"/>
    </row>
    <row r="27" spans="1:20" ht="15" customHeight="1" x14ac:dyDescent="0.25">
      <c r="A27" s="20"/>
      <c r="B27" s="457"/>
      <c r="C27" s="471"/>
      <c r="D27" s="471"/>
      <c r="E27" s="471"/>
      <c r="F27" s="360"/>
      <c r="G27" s="360"/>
      <c r="H27" s="79"/>
      <c r="I27" s="20"/>
      <c r="J27" s="85"/>
      <c r="K27" s="86"/>
      <c r="L27" s="86"/>
      <c r="M27" s="86"/>
      <c r="N27" s="86"/>
      <c r="O27" s="20"/>
      <c r="P27" s="20"/>
      <c r="Q27" s="64"/>
    </row>
    <row r="28" spans="1:20" x14ac:dyDescent="0.25">
      <c r="A28" s="20"/>
      <c r="B28" s="477">
        <v>3</v>
      </c>
      <c r="C28" s="478" t="s">
        <v>101</v>
      </c>
      <c r="D28" s="478"/>
      <c r="E28" s="479"/>
      <c r="F28" s="61"/>
      <c r="G28" s="61"/>
      <c r="H28" s="87"/>
      <c r="I28" s="20"/>
      <c r="J28" s="64"/>
      <c r="K28" s="86"/>
      <c r="L28" s="86"/>
      <c r="M28" s="86"/>
      <c r="N28" s="86"/>
      <c r="O28" s="20"/>
      <c r="P28" s="20"/>
      <c r="Q28" s="64"/>
    </row>
    <row r="29" spans="1:20" ht="23.1" customHeight="1" x14ac:dyDescent="0.25">
      <c r="A29" s="20"/>
      <c r="B29" s="457" t="s">
        <v>42</v>
      </c>
      <c r="C29" s="480" t="s">
        <v>59</v>
      </c>
      <c r="D29" s="480"/>
      <c r="E29" s="481"/>
      <c r="F29" s="386"/>
      <c r="G29" s="386"/>
      <c r="H29" s="87"/>
      <c r="I29" s="20"/>
      <c r="J29" s="85"/>
      <c r="K29" s="86"/>
      <c r="L29" s="86"/>
      <c r="M29" s="86"/>
      <c r="N29" s="86"/>
      <c r="O29" s="20"/>
      <c r="P29" s="20"/>
      <c r="Q29" s="64"/>
    </row>
    <row r="30" spans="1:20" ht="23.1" customHeight="1" x14ac:dyDescent="0.25">
      <c r="A30" s="20"/>
      <c r="B30" s="457"/>
      <c r="C30" s="482" t="s">
        <v>271</v>
      </c>
      <c r="D30" s="482"/>
      <c r="E30" s="483"/>
      <c r="F30" s="387"/>
      <c r="G30" s="387"/>
      <c r="H30" s="79"/>
      <c r="I30" s="20"/>
      <c r="J30" s="85"/>
      <c r="K30" s="86"/>
      <c r="L30" s="86"/>
      <c r="M30" s="86"/>
      <c r="N30" s="86"/>
      <c r="O30" s="20"/>
      <c r="P30" s="20"/>
      <c r="Q30" s="64"/>
    </row>
    <row r="31" spans="1:20" ht="15" customHeight="1" x14ac:dyDescent="0.25">
      <c r="A31" s="20"/>
      <c r="B31" s="78"/>
      <c r="C31" s="383"/>
      <c r="D31" s="383"/>
      <c r="E31" s="384"/>
      <c r="F31" s="388"/>
      <c r="G31" s="388"/>
      <c r="H31" s="79"/>
      <c r="I31" s="20"/>
      <c r="J31" s="85"/>
      <c r="K31" s="86"/>
      <c r="L31" s="86"/>
      <c r="M31" s="86"/>
      <c r="N31" s="86"/>
      <c r="O31" s="20"/>
      <c r="P31" s="20"/>
      <c r="Q31" s="64"/>
    </row>
    <row r="32" spans="1:20" ht="15" customHeight="1" x14ac:dyDescent="0.25">
      <c r="A32" s="20"/>
      <c r="B32" s="78"/>
      <c r="C32" s="383"/>
      <c r="D32" s="383"/>
      <c r="E32" s="383"/>
      <c r="F32" s="389" t="str">
        <f>IFERROR(IF(F31&lt;&gt;"",Nøgletal!O39,""),"")</f>
        <v/>
      </c>
      <c r="G32" s="389"/>
      <c r="H32" s="72" t="str">
        <f>IF(OR(I48="Fyringsolie",I48="Naturgas",I48="Kul og koks",I48="Flis",I48="Træpiller",I48="Halm"),"%","")</f>
        <v/>
      </c>
      <c r="I32" s="20"/>
      <c r="J32" s="85"/>
      <c r="K32" s="86"/>
      <c r="L32" s="86"/>
      <c r="M32" s="86"/>
      <c r="N32" s="86"/>
      <c r="O32" s="20"/>
      <c r="P32" s="20"/>
      <c r="Q32" s="64"/>
    </row>
    <row r="33" spans="1:20" x14ac:dyDescent="0.25">
      <c r="A33" s="20"/>
      <c r="B33" s="264"/>
      <c r="C33" s="390"/>
      <c r="D33" s="390"/>
      <c r="E33" s="391"/>
      <c r="F33" s="392"/>
      <c r="G33" s="392"/>
      <c r="H33" s="20"/>
      <c r="I33" s="20"/>
      <c r="J33" s="85"/>
      <c r="K33" s="86"/>
      <c r="L33" s="86"/>
      <c r="M33" s="86"/>
      <c r="N33" s="86"/>
      <c r="O33" s="20"/>
      <c r="P33" s="20"/>
      <c r="Q33" s="64"/>
    </row>
    <row r="34" spans="1:20" x14ac:dyDescent="0.25">
      <c r="A34" s="20"/>
      <c r="B34" s="382"/>
      <c r="C34" s="382"/>
      <c r="D34" s="382"/>
      <c r="E34" s="382"/>
      <c r="F34" s="382"/>
      <c r="G34" s="382"/>
      <c r="H34" s="361"/>
      <c r="I34" s="20"/>
      <c r="J34" s="85"/>
      <c r="K34" s="86"/>
      <c r="L34" s="86"/>
      <c r="M34" s="86"/>
      <c r="N34" s="86"/>
      <c r="O34" s="20"/>
      <c r="P34" s="20"/>
      <c r="Q34" s="64"/>
    </row>
    <row r="35" spans="1:20" ht="18" x14ac:dyDescent="0.25">
      <c r="A35" s="20"/>
      <c r="B35" s="359" t="s">
        <v>13</v>
      </c>
      <c r="C35" s="20"/>
      <c r="D35" s="36"/>
      <c r="E35" s="36"/>
      <c r="F35" s="36"/>
      <c r="G35" s="64"/>
      <c r="H35" s="64"/>
      <c r="I35" s="20"/>
      <c r="J35" s="85"/>
      <c r="K35" s="86"/>
      <c r="L35" s="86"/>
      <c r="M35" s="86"/>
      <c r="N35" s="86"/>
      <c r="O35" s="20"/>
      <c r="P35" s="20"/>
      <c r="Q35" s="64"/>
    </row>
    <row r="36" spans="1:20" x14ac:dyDescent="0.25">
      <c r="A36" s="20"/>
      <c r="B36" s="482" t="s">
        <v>46</v>
      </c>
      <c r="C36" s="464"/>
      <c r="D36" s="464"/>
      <c r="E36" s="457" t="str">
        <f>IF(F22="","",VLOOKUP(F22,Nøgletal!F31:G37,2,FALSE))</f>
        <v/>
      </c>
      <c r="F36" s="482"/>
      <c r="G36" s="259"/>
      <c r="H36" s="259"/>
      <c r="I36" s="90">
        <f>COUNT(#REF!)</f>
        <v>0</v>
      </c>
      <c r="J36" s="85"/>
      <c r="K36" s="86"/>
      <c r="L36" s="86"/>
      <c r="M36" s="86"/>
      <c r="N36" s="86"/>
      <c r="O36" s="20"/>
      <c r="P36" s="20"/>
      <c r="Q36" s="64"/>
    </row>
    <row r="37" spans="1:20" x14ac:dyDescent="0.25">
      <c r="A37" s="20"/>
      <c r="B37" s="482" t="s">
        <v>45</v>
      </c>
      <c r="C37" s="482"/>
      <c r="D37" s="482"/>
      <c r="E37" s="484" t="str">
        <f>IFERROR(Nøgletal!C26/1000,"-")</f>
        <v>-</v>
      </c>
      <c r="F37" s="457" t="s">
        <v>14</v>
      </c>
      <c r="G37" s="259"/>
      <c r="H37" s="259"/>
      <c r="I37" s="90"/>
      <c r="J37" s="85"/>
      <c r="K37" s="86"/>
      <c r="L37" s="86"/>
      <c r="M37" s="86"/>
      <c r="N37" s="86"/>
      <c r="O37" s="20"/>
      <c r="P37" s="20"/>
      <c r="Q37" s="64"/>
    </row>
    <row r="38" spans="1:20" x14ac:dyDescent="0.25">
      <c r="A38" s="20"/>
      <c r="B38" s="485"/>
      <c r="C38" s="485"/>
      <c r="D38" s="485"/>
      <c r="E38" s="457"/>
      <c r="F38" s="485"/>
      <c r="G38" s="259"/>
      <c r="H38" s="259"/>
      <c r="I38" s="90"/>
      <c r="J38" s="85"/>
      <c r="K38" s="86"/>
      <c r="L38" s="86"/>
      <c r="M38" s="86"/>
      <c r="N38" s="86"/>
      <c r="O38" s="20"/>
      <c r="P38" s="20"/>
      <c r="Q38" s="64"/>
    </row>
    <row r="39" spans="1:20" x14ac:dyDescent="0.25">
      <c r="A39" s="20"/>
      <c r="B39" s="482" t="s">
        <v>44</v>
      </c>
      <c r="C39" s="486"/>
      <c r="D39" s="486"/>
      <c r="E39" s="457" t="str">
        <f>IFERROR(VLOOKUP(F29,Nøgletal!B41:D46,3,FALSE),"")</f>
        <v/>
      </c>
      <c r="F39" s="485"/>
      <c r="G39" s="259"/>
      <c r="H39" s="259"/>
      <c r="I39" s="90"/>
      <c r="J39" s="85"/>
      <c r="K39" s="86"/>
      <c r="L39" s="86"/>
      <c r="M39" s="86"/>
      <c r="N39" s="86"/>
      <c r="O39" s="20"/>
      <c r="P39" s="20"/>
      <c r="Q39" s="64"/>
    </row>
    <row r="40" spans="1:20" x14ac:dyDescent="0.25">
      <c r="A40" s="20"/>
      <c r="B40" s="482" t="s">
        <v>43</v>
      </c>
      <c r="C40" s="486"/>
      <c r="D40" s="486"/>
      <c r="E40" s="484" t="str">
        <f>IFERROR(IF(F29="","-",IF(OR(E37="Ugyldigt energiforbrug",E37="Ugyldige årstal",E37="-"),E37,Nøgletal!C27/1000)),"-")</f>
        <v>-</v>
      </c>
      <c r="F40" s="457" t="s">
        <v>14</v>
      </c>
      <c r="G40" s="259"/>
      <c r="H40" s="259"/>
      <c r="I40" s="90"/>
      <c r="J40" s="85"/>
      <c r="K40" s="86"/>
      <c r="L40" s="86"/>
      <c r="M40" s="86"/>
      <c r="N40" s="86"/>
      <c r="O40" s="20"/>
      <c r="P40" s="20"/>
      <c r="Q40" s="64"/>
    </row>
    <row r="41" spans="1:20" x14ac:dyDescent="0.25">
      <c r="A41" s="20"/>
      <c r="B41" s="482"/>
      <c r="C41" s="486"/>
      <c r="D41" s="486"/>
      <c r="E41" s="484"/>
      <c r="F41" s="457"/>
      <c r="G41" s="259"/>
      <c r="H41" s="259"/>
      <c r="I41" s="20"/>
      <c r="J41" s="85"/>
      <c r="K41" s="88"/>
      <c r="L41" s="88"/>
      <c r="M41" s="88"/>
      <c r="N41" s="88"/>
      <c r="O41" s="20"/>
      <c r="P41" s="20"/>
      <c r="Q41" s="64"/>
      <c r="S41" s="158"/>
      <c r="T41" s="158"/>
    </row>
    <row r="42" spans="1:20" ht="15" customHeight="1" thickBot="1" x14ac:dyDescent="0.3">
      <c r="A42" s="20"/>
      <c r="B42" s="482"/>
      <c r="C42" s="486"/>
      <c r="D42" s="486"/>
      <c r="E42" s="487"/>
      <c r="F42" s="485"/>
      <c r="G42" s="259"/>
      <c r="H42" s="259"/>
      <c r="I42" s="20"/>
      <c r="J42" s="20"/>
      <c r="K42" s="20"/>
      <c r="L42" s="20"/>
      <c r="M42" s="20"/>
      <c r="N42" s="20"/>
      <c r="O42" s="20"/>
      <c r="P42" s="20"/>
      <c r="Q42" s="64"/>
      <c r="S42" s="158"/>
      <c r="T42" s="158"/>
    </row>
    <row r="43" spans="1:20" ht="15.75" thickBot="1" x14ac:dyDescent="0.3">
      <c r="A43" s="20"/>
      <c r="B43" s="488" t="s">
        <v>15</v>
      </c>
      <c r="C43" s="489"/>
      <c r="D43" s="489"/>
      <c r="E43" s="490" t="str">
        <f>IFERROR(IF(OR(E40="-",E37="-"),"-",IF(G13=1,E37-E40,"Input mangler / Ugyldig kombination!")),"-")</f>
        <v>-</v>
      </c>
      <c r="F43" s="491" t="s">
        <v>14</v>
      </c>
      <c r="G43" s="259"/>
      <c r="H43" s="259"/>
      <c r="I43" s="20"/>
      <c r="J43" s="85"/>
      <c r="K43" s="88"/>
      <c r="L43" s="88"/>
      <c r="M43" s="88"/>
      <c r="N43" s="88"/>
      <c r="O43" s="20"/>
      <c r="P43" s="20"/>
      <c r="Q43" s="64"/>
    </row>
    <row r="44" spans="1:20" x14ac:dyDescent="0.25">
      <c r="A44" s="20"/>
      <c r="B44" s="64"/>
      <c r="C44" s="64"/>
      <c r="D44" s="64"/>
      <c r="E44" s="64"/>
      <c r="F44" s="64"/>
      <c r="G44" s="64"/>
      <c r="H44" s="64"/>
      <c r="I44" s="20"/>
      <c r="J44" s="85"/>
      <c r="K44" s="88"/>
      <c r="L44" s="88"/>
      <c r="M44" s="88"/>
      <c r="N44" s="88"/>
      <c r="O44" s="20"/>
      <c r="P44" s="20"/>
      <c r="Q44" s="64"/>
    </row>
    <row r="45" spans="1:20" x14ac:dyDescent="0.25">
      <c r="A45" s="20"/>
      <c r="B45" s="64"/>
      <c r="C45" s="64"/>
      <c r="D45" s="64"/>
      <c r="E45" s="64"/>
      <c r="F45" s="64"/>
      <c r="G45" s="64"/>
      <c r="H45" s="64"/>
      <c r="I45" s="20"/>
      <c r="J45" s="85"/>
      <c r="K45" s="88"/>
      <c r="L45" s="88"/>
      <c r="M45" s="88"/>
      <c r="N45" s="355"/>
      <c r="O45" s="91"/>
      <c r="P45" s="91"/>
      <c r="Q45" s="64"/>
    </row>
    <row r="46" spans="1:20" ht="48" customHeight="1" x14ac:dyDescent="0.25">
      <c r="A46" s="20"/>
      <c r="B46" s="64"/>
      <c r="C46" s="64"/>
      <c r="D46" s="64"/>
      <c r="E46" s="64"/>
      <c r="F46" s="64"/>
      <c r="G46" s="64"/>
      <c r="H46" s="64"/>
      <c r="I46" s="20"/>
      <c r="J46" s="85"/>
      <c r="K46" s="88"/>
      <c r="L46" s="88"/>
      <c r="M46" s="88"/>
      <c r="N46" s="88"/>
      <c r="O46" s="20"/>
      <c r="P46" s="64"/>
      <c r="Q46" s="89"/>
    </row>
    <row r="47" spans="1:20" x14ac:dyDescent="0.25">
      <c r="A47" s="50"/>
      <c r="I47" s="50"/>
      <c r="Q47" s="260"/>
    </row>
    <row r="48" spans="1:20" x14ac:dyDescent="0.25">
      <c r="A48" s="50"/>
      <c r="I48" s="262">
        <f>F29</f>
        <v>0</v>
      </c>
      <c r="J48" s="263"/>
      <c r="Q48" s="260"/>
    </row>
    <row r="49" spans="1:17" x14ac:dyDescent="0.25">
      <c r="A49" s="50"/>
      <c r="I49" s="262">
        <f>IF(OR(I48="Fyringsolie",I48="Naturgas",I48="Kul og koks",I48="Flis",I48="Træpiller",I48="Halm",I48="Kul/koks"),1,0)</f>
        <v>0</v>
      </c>
      <c r="J49" s="263"/>
      <c r="Q49" s="260"/>
    </row>
    <row r="50" spans="1:17" x14ac:dyDescent="0.25">
      <c r="A50" s="50"/>
      <c r="I50" s="262">
        <f>IF(OR(I48="Fyringsolie",I48="Naturgas",I48="Kul og koks",I48="Flis",I48="Træpiller",I48="Halm",I48="Kul/koks"),1,0)</f>
        <v>0</v>
      </c>
      <c r="J50" s="263"/>
      <c r="Q50" s="261"/>
    </row>
    <row r="51" spans="1:17" x14ac:dyDescent="0.25">
      <c r="A51" s="50"/>
      <c r="I51" s="262">
        <f>IF(OR(F29="Fjernvarme",F29="Elkedel"),1,0)</f>
        <v>0</v>
      </c>
      <c r="J51" s="263"/>
      <c r="Q51" s="261"/>
    </row>
  </sheetData>
  <sheetProtection algorithmName="SHA-512" hashValue="Oj9XHWVLdzfFM/GGrnQzETYSZpzEsWUYWRxtt63K5g5N7N4rPboZVA0/2MeQwKtuoRHPVNY67ci4WCH9GSdG7A==" saltValue="0jwPCDKjjB9pJwW+kLXDig==" spinCount="100000" sheet="1" selectLockedCells="1"/>
  <mergeCells count="26">
    <mergeCell ref="F19:G19"/>
    <mergeCell ref="B15:H15"/>
    <mergeCell ref="F21:G21"/>
    <mergeCell ref="F17:G17"/>
    <mergeCell ref="F22:G22"/>
    <mergeCell ref="B2:C3"/>
    <mergeCell ref="D2:D3"/>
    <mergeCell ref="C18:E18"/>
    <mergeCell ref="F18:G18"/>
    <mergeCell ref="B7:K8"/>
    <mergeCell ref="B34:G34"/>
    <mergeCell ref="B43:D43"/>
    <mergeCell ref="C26:E26"/>
    <mergeCell ref="C23:E23"/>
    <mergeCell ref="C24:E24"/>
    <mergeCell ref="F23:G23"/>
    <mergeCell ref="C29:E29"/>
    <mergeCell ref="F29:G29"/>
    <mergeCell ref="F30:G30"/>
    <mergeCell ref="C31:E31"/>
    <mergeCell ref="F31:G31"/>
    <mergeCell ref="C32:E32"/>
    <mergeCell ref="F32:G32"/>
    <mergeCell ref="C33:E33"/>
    <mergeCell ref="F33:G33"/>
    <mergeCell ref="F24:G24"/>
  </mergeCells>
  <conditionalFormatting sqref="I14:J14 J14:P23">
    <cfRule type="iconSet" priority="35">
      <iconSet iconSet="3Symbols2">
        <cfvo type="percent" val="0"/>
        <cfvo type="percent" val="33"/>
        <cfvo type="percent" val="67"/>
      </iconSet>
    </cfRule>
  </conditionalFormatting>
  <conditionalFormatting sqref="F29:G29">
    <cfRule type="expression" dxfId="53" priority="24">
      <formula>#REF!=""</formula>
    </cfRule>
  </conditionalFormatting>
  <conditionalFormatting sqref="H20">
    <cfRule type="expression" dxfId="52" priority="11">
      <formula>#REF!="Ja"</formula>
    </cfRule>
    <cfRule type="expression" dxfId="51" priority="12">
      <formula>#REF!="Nej"</formula>
    </cfRule>
  </conditionalFormatting>
  <conditionalFormatting sqref="F20:G20 B19:F19">
    <cfRule type="expression" dxfId="50" priority="9">
      <formula>#REF!="Ja"</formula>
    </cfRule>
    <cfRule type="expression" dxfId="49" priority="10">
      <formula>#REF!="Nej"</formula>
    </cfRule>
  </conditionalFormatting>
  <dataValidations count="5">
    <dataValidation type="whole" allowBlank="1" showInputMessage="1" showErrorMessage="1" prompt="Den nye virkningsgrad  kan f.eks. findes i kedlens datablad. Hvis der ikke er valgt en specifik kedel  kan virkningsgraderne fra tabel 1 i vejledningen benyttes" sqref="F31:G31" xr:uid="{00000000-0002-0000-0200-000000000000}">
      <formula1>50</formula1>
      <formula2>105</formula2>
    </dataValidation>
    <dataValidation type="whole" allowBlank="1" showInputMessage="1" showErrorMessage="1" error="Kedlens varmeydelse må ikke være større end 1000 kW." prompt="Størrelsen på den forventede nye brændselskedel" sqref="F30:G30" xr:uid="{00000000-0002-0000-0200-000001000000}">
      <formula1>0</formula1>
      <formula2>1000</formula2>
    </dataValidation>
    <dataValidation allowBlank="1" showInputMessage="1" showErrorMessage="1" prompt="Indtast arealet på bygning. Arealet må kun benyttes til erhverv og skal fremgå af BBR" sqref="F18:G18" xr:uid="{00000000-0002-0000-0200-000002000000}"/>
    <dataValidation allowBlank="1" showInputMessage="1" showErrorMessage="1" prompt="SCOP kan findes i datablad for varmepumpe eller i tabel 2 i vejledningen. Hvis varmen afsættes i gulvarmesystem vælges SCOP ved 30 grader ellers vælges SCOP ved 60 grader" sqref="F33:G33" xr:uid="{00000000-0002-0000-0200-000003000000}"/>
    <dataValidation type="decimal" operator="greaterThan" allowBlank="1" showInputMessage="1" showErrorMessage="1" error="Kedlens varmeydelse kan ikke være negativ." prompt="Indtast effekt/varmeydelse på kedlen. Denne kan typisk findes på kedlens mærkeplade." sqref="F23:G23" xr:uid="{00000000-0002-0000-0200-000004000000}">
      <formula1>0</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4" id="{8E0FDB11-EAB0-4E25-ADFB-29A930091DFE}">
            <x14:iconSet iconSet="3Symbols2" custom="1">
              <x14:cfvo type="percent">
                <xm:f>0</xm:f>
              </x14:cfvo>
              <x14:cfvo type="num">
                <xm:f>-0.5</xm:f>
              </x14:cfvo>
              <x14:cfvo type="num">
                <xm:f>0.5</xm:f>
              </x14:cfvo>
              <x14:cfIcon iconSet="3Symbols2" iconId="0"/>
              <x14:cfIcon iconSet="3Symbols2" iconId="1"/>
              <x14:cfIcon iconSet="3Symbols2" iconId="2"/>
            </x14:iconSet>
          </x14:cfRule>
          <xm:sqref>G13</xm:sqref>
        </x14:conditionalFormatting>
        <x14:conditionalFormatting xmlns:xm="http://schemas.microsoft.com/office/excel/2006/main">
          <x14:cfRule type="iconSet" priority="112" id="{66855690-64D5-4EE6-84FE-5C8CCD04CBDC}">
            <x14:iconSet iconSet="3Symbols2" custom="1">
              <x14:cfvo type="percent">
                <xm:f>0</xm:f>
              </x14:cfvo>
              <x14:cfvo type="num">
                <xm:f>-0.5</xm:f>
              </x14:cfvo>
              <x14:cfvo type="num">
                <xm:f>0.5</xm:f>
              </x14:cfvo>
              <x14:cfIcon iconSet="3Symbols2" iconId="0"/>
              <x14:cfIcon iconSet="3Symbols2" iconId="1"/>
              <x14:cfIcon iconSet="3Symbols2" iconId="2"/>
            </x14:iconSet>
          </x14:cfRule>
          <xm:sqref>I9:I11</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5000000}">
          <x14:formula1>
            <xm:f>'Kyllinge - regneark'!$B$28:$C$28</xm:f>
          </x14:formula1>
          <xm:sqref>H10:H11</xm:sqref>
        </x14:dataValidation>
        <x14:dataValidation type="list" allowBlank="1" showInputMessage="1" showErrorMessage="1" xr:uid="{00000000-0002-0000-0200-000006000000}">
          <x14:formula1>
            <xm:f>Nøgletal!$B$41:$B$46</xm:f>
          </x14:formula1>
          <xm:sqref>F29:G29</xm:sqref>
        </x14:dataValidation>
        <x14:dataValidation type="list" allowBlank="1" showInputMessage="1" showErrorMessage="1" prompt="Her vælges bygningens anvendelsesformål" xr:uid="{00000000-0002-0000-0200-000007000000}">
          <x14:formula1>
            <xm:f>Nøgletal!$B$7:$B$11</xm:f>
          </x14:formula1>
          <xm:sqref>F19:G19</xm:sqref>
        </x14:dataValidation>
        <x14:dataValidation type="list" allowBlank="1" showInputMessage="1" showErrorMessage="1" error="Kedlens varmeydelse må ikke være større end 1000 kW." xr:uid="{00000000-0002-0000-0200-000008000000}">
          <x14:formula1>
            <xm:f>Nøgletal!$I$29:$I$30</xm:f>
          </x14:formula1>
          <xm:sqref>F24:G24</xm:sqref>
        </x14:dataValidation>
        <x14:dataValidation type="list" allowBlank="1" showInputMessage="1" showErrorMessage="1" prompt="Indtast nuværende brændselstype." xr:uid="{00000000-0002-0000-0200-000009000000}">
          <x14:formula1>
            <xm:f>Nøgletal!$F$31:$F$36</xm:f>
          </x14:formula1>
          <xm:sqref>F22:G22</xm:sqref>
        </x14:dataValidation>
        <x14:dataValidation type="list" allowBlank="1" showInputMessage="1" showErrorMessage="1" xr:uid="{00000000-0002-0000-0200-00000A000000}">
          <x14:formula1>
            <xm:f>'Kyllinge - regneark'!$B$25:$C$25</xm:f>
          </x14:formula1>
          <xm:sqref>H9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rgb="FFFFFF00"/>
  </sheetPr>
  <dimension ref="A1:AA63"/>
  <sheetViews>
    <sheetView topLeftCell="A7" workbookViewId="0"/>
  </sheetViews>
  <sheetFormatPr defaultColWidth="10.42578125" defaultRowHeight="12.75" customHeight="1" x14ac:dyDescent="0.15"/>
  <cols>
    <col min="1" max="1" width="3.5703125" style="50" customWidth="1"/>
    <col min="2" max="2" width="4.42578125" style="184" customWidth="1"/>
    <col min="3" max="3" width="8" style="50" customWidth="1"/>
    <col min="4" max="4" width="12.140625" style="50" customWidth="1"/>
    <col min="5" max="5" width="10.85546875" style="50" customWidth="1"/>
    <col min="6" max="6" width="15.140625" style="50" customWidth="1"/>
    <col min="7" max="7" width="19.28515625" style="50" customWidth="1"/>
    <col min="8" max="8" width="7.85546875" style="50" customWidth="1"/>
    <col min="9" max="9" width="17.85546875" style="50" customWidth="1"/>
    <col min="10" max="10" width="21.5703125" style="50" customWidth="1"/>
    <col min="11" max="11" width="2.140625" style="50" customWidth="1"/>
    <col min="12" max="12" width="0.85546875" style="50" customWidth="1"/>
    <col min="13" max="13" width="3.140625" style="50" customWidth="1"/>
    <col min="14" max="14" width="35.5703125" style="50" customWidth="1"/>
    <col min="15" max="15" width="20.28515625" style="50" customWidth="1"/>
    <col min="16" max="16" width="16.42578125" style="50" customWidth="1"/>
    <col min="17" max="17" width="11.5703125" style="50" customWidth="1"/>
    <col min="18" max="18" width="3.140625" style="50" customWidth="1"/>
    <col min="19" max="19" width="3.5703125" style="50" customWidth="1"/>
    <col min="20" max="20" width="10.42578125" style="50"/>
    <col min="21" max="21" width="10.85546875" style="50" bestFit="1" customWidth="1"/>
    <col min="22" max="16384" width="10.42578125" style="50"/>
  </cols>
  <sheetData>
    <row r="1" spans="1:27" ht="12.75" customHeight="1" x14ac:dyDescent="0.25">
      <c r="A1" s="32"/>
      <c r="B1" s="166"/>
      <c r="C1" s="18"/>
      <c r="D1" s="18"/>
      <c r="E1" s="18"/>
      <c r="F1" s="18"/>
      <c r="G1" s="18"/>
      <c r="H1" s="18"/>
      <c r="I1" s="18"/>
      <c r="J1" s="33"/>
      <c r="K1" s="20"/>
      <c r="L1" s="20"/>
      <c r="M1" s="20"/>
      <c r="N1" s="19"/>
      <c r="O1" s="20"/>
      <c r="P1" s="34"/>
      <c r="Q1" s="34"/>
      <c r="R1" s="34"/>
      <c r="S1" s="34"/>
      <c r="T1" s="112"/>
    </row>
    <row r="2" spans="1:27" ht="12.75" customHeight="1" x14ac:dyDescent="0.25">
      <c r="A2" s="20"/>
      <c r="B2" s="402">
        <f>Beskrivelse!C19</f>
        <v>0</v>
      </c>
      <c r="C2" s="402"/>
      <c r="D2" s="402"/>
      <c r="E2" s="402"/>
      <c r="F2" s="402"/>
      <c r="G2" s="402"/>
      <c r="H2" s="402"/>
      <c r="I2" s="402"/>
      <c r="J2" s="402"/>
      <c r="K2" s="402"/>
      <c r="L2" s="402"/>
      <c r="M2" s="402"/>
      <c r="N2" s="402"/>
      <c r="O2" s="402"/>
      <c r="P2" s="143"/>
      <c r="Q2" s="21"/>
      <c r="R2" s="21"/>
      <c r="S2" s="21"/>
      <c r="T2" s="112"/>
    </row>
    <row r="3" spans="1:27" ht="24" customHeight="1" x14ac:dyDescent="0.25">
      <c r="A3" s="36"/>
      <c r="B3" s="402"/>
      <c r="C3" s="402"/>
      <c r="D3" s="402"/>
      <c r="E3" s="402"/>
      <c r="F3" s="402"/>
      <c r="G3" s="402"/>
      <c r="H3" s="402"/>
      <c r="I3" s="402"/>
      <c r="J3" s="402"/>
      <c r="K3" s="402"/>
      <c r="L3" s="402"/>
      <c r="M3" s="402"/>
      <c r="N3" s="402"/>
      <c r="O3" s="402"/>
      <c r="P3" s="143"/>
      <c r="Q3" s="25"/>
      <c r="R3" s="25"/>
      <c r="S3" s="20"/>
      <c r="T3" s="112"/>
    </row>
    <row r="4" spans="1:27" ht="13.35" customHeight="1" x14ac:dyDescent="0.25">
      <c r="A4" s="36"/>
      <c r="B4" s="402"/>
      <c r="C4" s="402"/>
      <c r="D4" s="402"/>
      <c r="E4" s="402"/>
      <c r="F4" s="402"/>
      <c r="G4" s="402"/>
      <c r="H4" s="402"/>
      <c r="I4" s="402"/>
      <c r="J4" s="402"/>
      <c r="K4" s="402"/>
      <c r="L4" s="402"/>
      <c r="M4" s="402"/>
      <c r="N4" s="402"/>
      <c r="O4" s="402"/>
      <c r="P4" s="20"/>
      <c r="Q4" s="20"/>
      <c r="R4" s="20"/>
      <c r="S4" s="20"/>
      <c r="T4" s="112"/>
    </row>
    <row r="5" spans="1:27" ht="12.75" customHeight="1" x14ac:dyDescent="0.25">
      <c r="A5" s="39"/>
      <c r="B5" s="167"/>
      <c r="C5" s="39"/>
      <c r="D5" s="39"/>
      <c r="E5" s="39"/>
      <c r="F5" s="39"/>
      <c r="G5" s="39"/>
      <c r="H5" s="39"/>
      <c r="I5" s="39"/>
      <c r="J5" s="39"/>
      <c r="K5" s="39"/>
      <c r="L5" s="39"/>
      <c r="M5" s="39"/>
      <c r="N5" s="39"/>
      <c r="O5" s="39"/>
      <c r="P5" s="39"/>
      <c r="Q5" s="39"/>
      <c r="R5" s="39"/>
      <c r="S5" s="39"/>
      <c r="T5" s="112"/>
    </row>
    <row r="6" spans="1:27" ht="18" x14ac:dyDescent="0.25">
      <c r="A6" s="20"/>
      <c r="B6" s="395" t="s">
        <v>6</v>
      </c>
      <c r="C6" s="395"/>
      <c r="D6" s="395"/>
      <c r="E6" s="395"/>
      <c r="F6" s="395"/>
      <c r="G6" s="395"/>
      <c r="H6" s="395"/>
      <c r="I6" s="395"/>
      <c r="J6" s="395"/>
      <c r="K6" s="395"/>
      <c r="L6" s="395"/>
      <c r="M6" s="395"/>
      <c r="N6" s="395"/>
      <c r="O6" s="73"/>
      <c r="P6" s="20"/>
      <c r="Q6" s="20"/>
      <c r="R6" s="20"/>
      <c r="S6" s="20"/>
      <c r="T6" s="112"/>
    </row>
    <row r="7" spans="1:27" ht="12.75" customHeight="1" x14ac:dyDescent="0.25">
      <c r="A7" s="20"/>
      <c r="B7" s="395"/>
      <c r="C7" s="395"/>
      <c r="D7" s="395"/>
      <c r="E7" s="395"/>
      <c r="F7" s="395"/>
      <c r="G7" s="395"/>
      <c r="H7" s="395"/>
      <c r="I7" s="395"/>
      <c r="J7" s="395"/>
      <c r="K7" s="395"/>
      <c r="L7" s="395"/>
      <c r="M7" s="395"/>
      <c r="N7" s="395"/>
      <c r="O7" s="69"/>
      <c r="P7" s="69"/>
      <c r="Q7" s="69"/>
      <c r="R7" s="69"/>
      <c r="S7" s="112"/>
      <c r="T7" s="112"/>
    </row>
    <row r="8" spans="1:27" ht="12.75" customHeight="1" x14ac:dyDescent="0.25">
      <c r="A8" s="20"/>
      <c r="B8" s="70" t="s">
        <v>7</v>
      </c>
      <c r="C8" s="401" t="s">
        <v>153</v>
      </c>
      <c r="D8" s="401"/>
      <c r="E8" s="401"/>
      <c r="F8" s="401"/>
      <c r="G8" s="401"/>
      <c r="H8" s="401"/>
      <c r="I8" s="401"/>
      <c r="J8" s="401"/>
      <c r="K8" s="401"/>
      <c r="L8" s="401"/>
      <c r="M8" s="401"/>
      <c r="N8" s="401"/>
      <c r="O8" s="164"/>
      <c r="P8" s="156" t="s">
        <v>194</v>
      </c>
      <c r="Q8" s="71" t="s">
        <v>8</v>
      </c>
      <c r="R8" s="62">
        <f>IF(Q8="",0,IF(Q8=P8,1,-1))</f>
        <v>1</v>
      </c>
      <c r="S8" s="112"/>
      <c r="T8" s="112"/>
    </row>
    <row r="9" spans="1:27" ht="12.75" customHeight="1" x14ac:dyDescent="0.25">
      <c r="A9" s="20"/>
      <c r="B9" s="70" t="s">
        <v>7</v>
      </c>
      <c r="C9" s="188" t="s">
        <v>201</v>
      </c>
      <c r="D9" s="164"/>
      <c r="E9" s="164"/>
      <c r="F9" s="164"/>
      <c r="G9" s="232"/>
      <c r="H9" s="232"/>
      <c r="I9" s="164"/>
      <c r="J9" s="164"/>
      <c r="K9" s="164"/>
      <c r="L9" s="164"/>
      <c r="M9" s="164"/>
      <c r="N9" s="164"/>
      <c r="O9" s="164"/>
      <c r="P9" s="156" t="s">
        <v>194</v>
      </c>
      <c r="Q9" s="71" t="s">
        <v>8</v>
      </c>
      <c r="R9" s="62">
        <f>IF(Q9="",0,IF(Q9=P9,1,-1))</f>
        <v>1</v>
      </c>
      <c r="S9" s="112"/>
      <c r="T9" s="112"/>
    </row>
    <row r="10" spans="1:27" ht="12.75" customHeight="1" x14ac:dyDescent="0.25">
      <c r="A10" s="20"/>
      <c r="B10" s="70" t="s">
        <v>7</v>
      </c>
      <c r="C10" s="164" t="s">
        <v>195</v>
      </c>
      <c r="D10" s="164"/>
      <c r="E10" s="164"/>
      <c r="F10" s="164"/>
      <c r="G10" s="232"/>
      <c r="H10" s="232"/>
      <c r="I10" s="164"/>
      <c r="J10" s="164"/>
      <c r="K10" s="164"/>
      <c r="L10" s="164"/>
      <c r="M10" s="164"/>
      <c r="N10" s="164"/>
      <c r="O10" s="164"/>
      <c r="P10" s="156" t="s">
        <v>194</v>
      </c>
      <c r="Q10" s="71" t="s">
        <v>8</v>
      </c>
      <c r="R10" s="62">
        <f t="shared" ref="R10:R11" si="0">IF(Q10="",0,IF(Q10=P10,1,-1))</f>
        <v>1</v>
      </c>
      <c r="S10" s="112"/>
      <c r="T10" s="112"/>
    </row>
    <row r="11" spans="1:27" ht="12.75" customHeight="1" x14ac:dyDescent="0.25">
      <c r="A11" s="20"/>
      <c r="B11" s="70" t="s">
        <v>7</v>
      </c>
      <c r="C11" s="164" t="s">
        <v>196</v>
      </c>
      <c r="D11" s="164"/>
      <c r="E11" s="164"/>
      <c r="F11" s="164"/>
      <c r="G11" s="232"/>
      <c r="H11" s="232"/>
      <c r="I11" s="164"/>
      <c r="J11" s="164"/>
      <c r="K11" s="164"/>
      <c r="L11" s="164"/>
      <c r="M11" s="164"/>
      <c r="N11" s="164"/>
      <c r="O11" s="164"/>
      <c r="P11" s="156" t="s">
        <v>194</v>
      </c>
      <c r="Q11" s="71" t="s">
        <v>8</v>
      </c>
      <c r="R11" s="62">
        <f t="shared" si="0"/>
        <v>1</v>
      </c>
      <c r="S11" s="112"/>
      <c r="T11" s="112"/>
    </row>
    <row r="12" spans="1:27" ht="9.75" customHeight="1" x14ac:dyDescent="0.25">
      <c r="A12" s="20"/>
      <c r="B12" s="70"/>
      <c r="C12" s="113"/>
      <c r="D12" s="113"/>
      <c r="E12" s="113"/>
      <c r="F12" s="113"/>
      <c r="G12" s="113"/>
      <c r="H12" s="113"/>
      <c r="I12" s="113"/>
      <c r="J12" s="113"/>
      <c r="K12" s="113"/>
      <c r="L12" s="113"/>
      <c r="M12" s="113"/>
      <c r="N12" s="164"/>
      <c r="O12" s="164"/>
      <c r="P12" s="164"/>
      <c r="Q12" s="164"/>
      <c r="R12" s="164"/>
      <c r="S12" s="112"/>
      <c r="T12" s="112"/>
    </row>
    <row r="13" spans="1:27" ht="27" customHeight="1" x14ac:dyDescent="0.25">
      <c r="A13" s="20"/>
      <c r="B13" s="70"/>
      <c r="C13" s="168" t="str">
        <f>IF(J13=0,"Spørgsmål om afgrænsning er ikke besvaret",IF(J13=1,"Projektet er omfattet af standardløsningen","Projektet er IKKE omfattet af standardløsningen"))</f>
        <v>Projektet er omfattet af standardløsningen</v>
      </c>
      <c r="D13" s="113"/>
      <c r="E13" s="113"/>
      <c r="F13" s="113"/>
      <c r="G13" s="113"/>
      <c r="H13" s="113"/>
      <c r="I13" s="113"/>
      <c r="J13" s="155">
        <f>MIN(R8:R11)</f>
        <v>1</v>
      </c>
      <c r="K13" s="113"/>
      <c r="L13" s="113"/>
      <c r="M13" s="113"/>
      <c r="N13" s="164"/>
      <c r="O13" s="164"/>
      <c r="P13" s="164"/>
      <c r="Q13" s="164"/>
      <c r="R13" s="164"/>
      <c r="S13" s="112"/>
      <c r="T13" s="112"/>
    </row>
    <row r="14" spans="1:27" ht="15.75" customHeight="1" x14ac:dyDescent="0.25">
      <c r="A14" s="20"/>
      <c r="B14" s="169"/>
      <c r="C14" s="73"/>
      <c r="D14" s="73"/>
      <c r="E14" s="73"/>
      <c r="F14" s="73"/>
      <c r="G14" s="73"/>
      <c r="H14" s="73"/>
      <c r="I14" s="73"/>
      <c r="J14" s="73"/>
      <c r="K14" s="170"/>
      <c r="L14" s="170"/>
      <c r="M14" s="20"/>
      <c r="N14" s="112"/>
      <c r="O14" s="112"/>
      <c r="P14" s="112"/>
      <c r="Q14" s="112"/>
      <c r="R14" s="112"/>
      <c r="S14" s="112"/>
      <c r="T14" s="112"/>
    </row>
    <row r="15" spans="1:27" s="172" customFormat="1" ht="18" customHeight="1" x14ac:dyDescent="0.25">
      <c r="A15" s="81"/>
      <c r="B15" s="402" t="s">
        <v>10</v>
      </c>
      <c r="C15" s="402"/>
      <c r="D15" s="402"/>
      <c r="E15" s="402"/>
      <c r="F15" s="402"/>
      <c r="G15" s="402"/>
      <c r="H15" s="402"/>
      <c r="I15" s="402"/>
      <c r="J15" s="402"/>
      <c r="K15" s="402"/>
      <c r="L15" s="171"/>
      <c r="M15" s="81"/>
      <c r="N15" s="159" t="s">
        <v>13</v>
      </c>
      <c r="O15" s="112"/>
      <c r="P15" s="112"/>
      <c r="Q15" s="112"/>
      <c r="R15" s="112"/>
      <c r="S15" s="112"/>
      <c r="T15" s="112"/>
      <c r="U15" s="50"/>
      <c r="V15" s="50"/>
      <c r="W15" s="50"/>
      <c r="X15" s="50"/>
      <c r="Y15" s="50"/>
      <c r="Z15" s="50"/>
      <c r="AA15" s="50"/>
    </row>
    <row r="16" spans="1:27" ht="18" x14ac:dyDescent="0.25">
      <c r="A16" s="20"/>
      <c r="B16" s="173"/>
      <c r="C16" s="161"/>
      <c r="D16" s="161"/>
      <c r="E16" s="161"/>
      <c r="F16" s="161"/>
      <c r="G16" s="234"/>
      <c r="H16" s="234"/>
      <c r="I16" s="173"/>
      <c r="J16" s="173"/>
      <c r="K16" s="174"/>
      <c r="L16" s="174"/>
      <c r="M16" s="20"/>
      <c r="N16" s="79" t="s">
        <v>108</v>
      </c>
      <c r="O16" s="70" t="str">
        <f>IF(J27="","",VLOOKUP('Tiltag 4'!J27,'Kyllinge - regneark'!P41:Q48,2,FALSE))</f>
        <v>Naturgas</v>
      </c>
      <c r="P16" s="79"/>
      <c r="Q16" s="164"/>
      <c r="R16" s="164"/>
      <c r="S16" s="193"/>
      <c r="T16" s="112"/>
    </row>
    <row r="17" spans="1:23" ht="18" x14ac:dyDescent="0.25">
      <c r="A17" s="20"/>
      <c r="B17" s="70" t="s">
        <v>109</v>
      </c>
      <c r="C17" s="408" t="s">
        <v>154</v>
      </c>
      <c r="D17" s="408"/>
      <c r="E17" s="408"/>
      <c r="F17" s="408"/>
      <c r="G17" s="408"/>
      <c r="H17" s="408"/>
      <c r="I17" s="409"/>
      <c r="J17" s="175" t="s">
        <v>129</v>
      </c>
      <c r="K17" s="174"/>
      <c r="L17" s="174"/>
      <c r="M17" s="20"/>
      <c r="N17" s="79" t="s">
        <v>45</v>
      </c>
      <c r="O17" s="154">
        <f>IF(J27="","-",IF(J17='Kyllinge - regneark'!$C$13,$I$24/$U$32/1000,IF(J17='Kyllinge - regneark'!$B$13,$G$24/$U$32/1000,"-")))</f>
        <v>7612.5</v>
      </c>
      <c r="P17" s="163" t="s">
        <v>14</v>
      </c>
      <c r="Q17" s="164"/>
      <c r="R17" s="164"/>
      <c r="S17" s="193"/>
      <c r="T17" s="112"/>
    </row>
    <row r="18" spans="1:23" ht="22.5" customHeight="1" x14ac:dyDescent="0.25">
      <c r="A18" s="20"/>
      <c r="B18" s="70"/>
      <c r="C18" s="161"/>
      <c r="D18" s="161"/>
      <c r="E18" s="161"/>
      <c r="F18" s="161"/>
      <c r="G18" s="231"/>
      <c r="H18" s="231"/>
      <c r="I18" s="114"/>
      <c r="J18" s="114"/>
      <c r="K18" s="114"/>
      <c r="L18" s="114"/>
      <c r="M18" s="20"/>
      <c r="N18" s="144"/>
      <c r="O18" s="115"/>
      <c r="P18" s="161"/>
      <c r="Q18" s="164"/>
      <c r="R18" s="164"/>
      <c r="S18" s="193"/>
      <c r="T18" s="112"/>
    </row>
    <row r="19" spans="1:23" ht="18" x14ac:dyDescent="0.25">
      <c r="A19" s="20"/>
      <c r="B19" s="70" t="s">
        <v>155</v>
      </c>
      <c r="C19" s="408" t="s">
        <v>230</v>
      </c>
      <c r="D19" s="408"/>
      <c r="E19" s="408"/>
      <c r="F19" s="408"/>
      <c r="G19" s="408"/>
      <c r="H19" s="408"/>
      <c r="I19" s="408"/>
      <c r="J19" s="114"/>
      <c r="K19" s="174"/>
      <c r="L19" s="174"/>
      <c r="M19" s="20"/>
      <c r="N19" s="145" t="s">
        <v>44</v>
      </c>
      <c r="O19" s="116" t="str">
        <f>IFERROR(VLOOKUP(J35,'Kyllinge - regneark'!L55:N60,3,FALSE),"")</f>
        <v>Elektricitet</v>
      </c>
      <c r="P19" s="163"/>
      <c r="Q19" s="164"/>
      <c r="R19" s="164"/>
      <c r="S19" s="193"/>
      <c r="T19" s="112"/>
    </row>
    <row r="20" spans="1:23" ht="18" customHeight="1" x14ac:dyDescent="0.25">
      <c r="A20" s="20"/>
      <c r="B20" s="173"/>
      <c r="C20" s="412" t="str">
        <f>IF(J17="","",IF(J17='Kyllinge - regneark'!B13,"Årligt antal","Antal"))</f>
        <v>Antal</v>
      </c>
      <c r="D20" s="412"/>
      <c r="E20" s="413" t="str">
        <f>IF(J17="","",IF(J17='Kyllinge - regneark'!B13,"Varmebehov[kWh]","Årlige antal"))</f>
        <v>Årlige antal</v>
      </c>
      <c r="F20" s="413"/>
      <c r="G20" s="410"/>
      <c r="H20" s="410"/>
      <c r="I20" s="165" t="str">
        <f>IF(J17="","",IF(J17='Kyllinge - regneark'!C13,"Varmebehov[kWh]",""))</f>
        <v>Varmebehov[kWh]</v>
      </c>
      <c r="J20" s="72"/>
      <c r="K20" s="174"/>
      <c r="L20" s="174"/>
      <c r="M20" s="20"/>
      <c r="N20" s="79" t="s">
        <v>43</v>
      </c>
      <c r="O20" s="154">
        <f>O17*U32/I40</f>
        <v>6090</v>
      </c>
      <c r="P20" s="163" t="s">
        <v>14</v>
      </c>
      <c r="Q20" s="164"/>
      <c r="R20" s="164"/>
      <c r="S20" s="193"/>
      <c r="T20" s="112"/>
    </row>
    <row r="21" spans="1:23" ht="18" x14ac:dyDescent="0.25">
      <c r="A21" s="20"/>
      <c r="B21" s="70"/>
      <c r="C21" s="411">
        <v>1000000</v>
      </c>
      <c r="D21" s="411"/>
      <c r="E21" s="405">
        <f>IF($J$17='Kyllinge - regneark'!$B$13,IF(M22="","",IF(AND(M22='Kyllinge - regneark'!$B$16,M21="Nej"),C21*'Kyllinge - regneark'!$T$20,IF(AND(M22='Kyllinge - regneark'!$B$16,M21="Ja"),C21*'Kyllinge - regneark'!$T$21,IF(AND(M22='Kyllinge - regneark'!$C$16,M21="Nej"),C21*'Kyllinge - regneark'!$T$22,IF(AND(M22='Kyllinge - regneark'!$C$16,M21="Ja"),C21*'Kyllinge - regneark'!$T$23,IF(AND(M22='Kyllinge - regneark'!$D$16,M21="Nej"),C21*'Kyllinge - regneark'!$T$24,IF(AND(M22='Kyllinge - regneark'!$D$16,M21="Ja"),C21*'Kyllinge - regneark'!$T$25,""))))))),IF($J$17='Kyllinge - regneark'!$C$13,IF(M22="","",IF(M22='Kyllinge - regneark'!$B$16,C21*'Kyllinge - regneark'!$I$11,IF(M22='Kyllinge - regneark'!$C$16,C21*'Kyllinge - regneark'!$I$12,"")))))</f>
        <v>8700000</v>
      </c>
      <c r="F21" s="405"/>
      <c r="G21" s="410"/>
      <c r="H21" s="410"/>
      <c r="I21" s="152">
        <f>IF($J$17='Kyllinge - regneark'!$C$13,IF(AND(M22='Kyllinge - regneark'!$B$16,M21="Nej"),E21*'Kyllinge - regneark'!$T$20,IF(AND(M22='Kyllinge - regneark'!$B$16,M21="Ja"),E21*'Kyllinge - regneark'!$T$21,IF(AND(M22='Kyllinge - regneark'!$C$16,M21="Nej"),E21*'Kyllinge - regneark'!$T$22,IF(AND(M22='Kyllinge - regneark'!$C$16,M21="Ja"),E21*'Kyllinge - regneark'!$T$23,"")))))</f>
        <v>6090000</v>
      </c>
      <c r="J21" s="72"/>
      <c r="K21" s="174"/>
      <c r="L21" s="174"/>
      <c r="M21" s="220" t="s">
        <v>8</v>
      </c>
      <c r="N21" s="79"/>
      <c r="O21" s="154"/>
      <c r="P21" s="189"/>
      <c r="Q21" s="190"/>
      <c r="R21" s="190"/>
      <c r="S21" s="193"/>
      <c r="T21" s="112"/>
    </row>
    <row r="22" spans="1:23" ht="18.75" thickBot="1" x14ac:dyDescent="0.3">
      <c r="A22" s="20"/>
      <c r="B22" s="70"/>
      <c r="C22" s="152" t="s">
        <v>162</v>
      </c>
      <c r="D22" s="404" t="s">
        <v>220</v>
      </c>
      <c r="E22" s="404"/>
      <c r="F22" s="196"/>
      <c r="G22" s="410"/>
      <c r="H22" s="410"/>
      <c r="I22" s="152" t="str">
        <f>IF($J$17='Kyllinge - regneark'!$C$13,IF(AND(C22='Kyllinge - regneark'!$B$16,F22="Nej"),G22*'Kyllinge - regneark'!$T$20,IF(AND(C22='Kyllinge - regneark'!$B$16,F22="Ja"),G22*'Kyllinge - regneark'!$T$21,IF(AND(C22='Kyllinge - regneark'!$C$16,F22="Nej"),G22*'Kyllinge - regneark'!$T$22,IF(AND(C22='Kyllinge - regneark'!$C$16,F22="Ja"),G22*'Kyllinge - regneark'!$T$23,"")))))</f>
        <v/>
      </c>
      <c r="J22" s="72"/>
      <c r="K22" s="174"/>
      <c r="L22" s="174"/>
      <c r="M22" s="239" t="s">
        <v>162</v>
      </c>
      <c r="N22" s="77" t="s">
        <v>203</v>
      </c>
      <c r="O22" s="192" t="s">
        <v>204</v>
      </c>
      <c r="P22" s="82"/>
      <c r="Q22" s="82"/>
      <c r="R22" s="80"/>
      <c r="S22" s="193"/>
      <c r="T22" s="112"/>
    </row>
    <row r="23" spans="1:23" ht="18.75" thickBot="1" x14ac:dyDescent="0.3">
      <c r="A23" s="20"/>
      <c r="B23" s="70"/>
      <c r="C23" s="152" t="s">
        <v>162</v>
      </c>
      <c r="D23" s="404"/>
      <c r="E23" s="404"/>
      <c r="F23" s="196"/>
      <c r="G23" s="410"/>
      <c r="H23" s="410"/>
      <c r="I23" s="152" t="str">
        <f>IF($J$17='Kyllinge - regneark'!$C$13,IF(AND(C23='Kyllinge - regneark'!$B$16,F23="Nej"),G23*'Kyllinge - regneark'!$T$20,IF(AND(C23='Kyllinge - regneark'!$B$16,F23="Ja"),G23*'Kyllinge - regneark'!$T$21,IF(AND(C23='Kyllinge - regneark'!$C$16,F23="Nej"),G23*'Kyllinge - regneark'!$T$22,IF(AND(C23='Kyllinge - regneark'!$C$16,F23="Ja"),G23*'Kyllinge - regneark'!$T$23,"")))))</f>
        <v/>
      </c>
      <c r="J23" s="72"/>
      <c r="K23" s="174"/>
      <c r="L23" s="174"/>
      <c r="M23" s="20"/>
      <c r="N23" s="146" t="s">
        <v>111</v>
      </c>
      <c r="O23" s="147">
        <f>IFERROR(IF(AND(O17="-",O20="-"),"-",O17-O20),"-")</f>
        <v>1522.5</v>
      </c>
      <c r="P23" s="403" t="s">
        <v>14</v>
      </c>
      <c r="Q23" s="403"/>
      <c r="R23" s="403"/>
      <c r="S23" s="194"/>
      <c r="T23" s="112"/>
    </row>
    <row r="24" spans="1:23" ht="18" customHeight="1" x14ac:dyDescent="0.25">
      <c r="A24" s="20"/>
      <c r="B24" s="70"/>
      <c r="C24" s="117"/>
      <c r="D24" s="165"/>
      <c r="E24" s="165"/>
      <c r="F24" s="165"/>
      <c r="G24" s="152" t="str">
        <f>IF(J17='Kyllinge - regneark'!B13,SUM(G21:H23),"")</f>
        <v/>
      </c>
      <c r="H24" s="182"/>
      <c r="I24" s="219">
        <f>IF(J17='Kyllinge - regneark'!C13,SUM(I21:I23),"")</f>
        <v>6090000</v>
      </c>
      <c r="J24" s="209"/>
      <c r="K24" s="174"/>
      <c r="L24" s="174"/>
      <c r="M24" s="20"/>
      <c r="N24" s="112"/>
      <c r="O24" s="112"/>
      <c r="P24" s="112"/>
      <c r="Q24" s="112"/>
      <c r="R24" s="112"/>
      <c r="S24" s="112"/>
      <c r="T24" s="112"/>
    </row>
    <row r="25" spans="1:23" ht="18" customHeight="1" x14ac:dyDescent="0.25">
      <c r="A25" s="20"/>
      <c r="B25" s="70"/>
      <c r="C25" s="117"/>
      <c r="D25" s="117"/>
      <c r="E25" s="160"/>
      <c r="F25" s="160"/>
      <c r="G25" s="230"/>
      <c r="H25" s="230"/>
      <c r="I25" s="160"/>
      <c r="J25" s="160"/>
      <c r="K25" s="160"/>
      <c r="L25" s="160"/>
      <c r="M25" s="20"/>
      <c r="N25" s="118" t="s">
        <v>156</v>
      </c>
      <c r="O25" s="112"/>
      <c r="P25" s="112"/>
      <c r="Q25" s="112"/>
      <c r="R25" s="112"/>
      <c r="S25" s="112"/>
      <c r="T25" s="112"/>
    </row>
    <row r="26" spans="1:23" ht="24" customHeight="1" x14ac:dyDescent="0.25">
      <c r="A26" s="20"/>
      <c r="B26" s="70"/>
      <c r="C26" s="117"/>
      <c r="D26" s="117"/>
      <c r="E26" s="117"/>
      <c r="F26" s="117"/>
      <c r="G26" s="234"/>
      <c r="H26" s="234"/>
      <c r="I26" s="173"/>
      <c r="J26" s="173"/>
      <c r="K26" s="174"/>
      <c r="L26" s="174"/>
      <c r="M26" s="20"/>
      <c r="O26" s="112"/>
      <c r="P26" s="112"/>
      <c r="Q26" s="112"/>
      <c r="R26" s="112"/>
      <c r="S26" s="112"/>
      <c r="T26" s="112"/>
    </row>
    <row r="27" spans="1:23" ht="18" customHeight="1" x14ac:dyDescent="0.25">
      <c r="A27" s="20"/>
      <c r="B27" s="176" t="s">
        <v>157</v>
      </c>
      <c r="C27" s="406" t="s">
        <v>112</v>
      </c>
      <c r="D27" s="406"/>
      <c r="E27" s="406"/>
      <c r="F27" s="177"/>
      <c r="G27" s="178"/>
      <c r="H27" s="231"/>
      <c r="I27" s="162"/>
      <c r="J27" s="179" t="s">
        <v>17</v>
      </c>
      <c r="K27" s="72"/>
      <c r="L27" s="72"/>
      <c r="M27" s="20"/>
      <c r="N27" s="174"/>
      <c r="O27" s="174"/>
      <c r="P27" s="174"/>
      <c r="Q27" s="174"/>
      <c r="R27" s="174"/>
      <c r="S27" s="112"/>
      <c r="T27" s="112"/>
    </row>
    <row r="28" spans="1:23" ht="22.5" customHeight="1" x14ac:dyDescent="0.25">
      <c r="A28" s="20"/>
      <c r="B28" s="176"/>
      <c r="C28" s="176"/>
      <c r="D28" s="176"/>
      <c r="E28" s="176"/>
      <c r="F28" s="177"/>
      <c r="G28" s="178"/>
      <c r="H28" s="231"/>
      <c r="I28" s="161"/>
      <c r="J28" s="161"/>
      <c r="K28" s="161"/>
      <c r="L28" s="72"/>
      <c r="M28" s="20"/>
      <c r="N28" s="174"/>
      <c r="O28" s="174"/>
      <c r="P28" s="174"/>
      <c r="Q28" s="174"/>
      <c r="R28" s="174"/>
      <c r="S28" s="112"/>
      <c r="T28" s="112"/>
    </row>
    <row r="29" spans="1:23" ht="18" x14ac:dyDescent="0.25">
      <c r="A29" s="20"/>
      <c r="B29" s="176"/>
      <c r="C29" s="178"/>
      <c r="D29" s="178"/>
      <c r="E29" s="178"/>
      <c r="F29" s="178"/>
      <c r="G29" s="178"/>
      <c r="H29" s="178"/>
      <c r="I29" s="178"/>
      <c r="J29" s="178"/>
      <c r="K29" s="72"/>
      <c r="L29" s="72"/>
      <c r="M29" s="20"/>
      <c r="N29" s="178"/>
      <c r="O29" s="178"/>
      <c r="P29" s="178"/>
      <c r="Q29" s="178"/>
      <c r="R29" s="178"/>
      <c r="S29" s="112"/>
      <c r="T29" s="112"/>
    </row>
    <row r="30" spans="1:23" ht="24" customHeight="1" x14ac:dyDescent="0.25">
      <c r="A30" s="20"/>
      <c r="B30" s="233" t="s">
        <v>158</v>
      </c>
      <c r="C30" s="407" t="s">
        <v>227</v>
      </c>
      <c r="D30" s="407"/>
      <c r="E30" s="407"/>
      <c r="F30" s="407"/>
      <c r="G30" s="407"/>
      <c r="H30" s="407"/>
      <c r="I30" s="407"/>
      <c r="J30" s="407"/>
      <c r="K30" s="161"/>
      <c r="L30" s="161"/>
      <c r="M30" s="20"/>
      <c r="N30" s="174"/>
      <c r="O30" s="174"/>
      <c r="P30" s="174"/>
      <c r="Q30" s="174"/>
      <c r="R30" s="174"/>
      <c r="S30" s="112"/>
      <c r="T30" s="112"/>
    </row>
    <row r="31" spans="1:23" ht="21.75" customHeight="1" x14ac:dyDescent="0.25">
      <c r="A31" s="20"/>
      <c r="B31" s="233"/>
      <c r="C31" s="72"/>
      <c r="D31" s="72"/>
      <c r="E31" s="422"/>
      <c r="F31" s="422"/>
      <c r="G31" s="422"/>
      <c r="H31" s="233"/>
      <c r="I31" s="233"/>
      <c r="J31" s="233"/>
      <c r="K31" s="161"/>
      <c r="L31" s="161"/>
      <c r="M31" s="20"/>
      <c r="N31" s="178"/>
      <c r="O31" s="178"/>
      <c r="P31" s="178"/>
      <c r="Q31" s="178"/>
      <c r="R31" s="178"/>
      <c r="S31" s="112"/>
      <c r="T31" s="112"/>
      <c r="U31" s="417" t="s">
        <v>114</v>
      </c>
      <c r="V31" s="417"/>
      <c r="W31" s="417"/>
    </row>
    <row r="32" spans="1:23" ht="18" x14ac:dyDescent="0.25">
      <c r="A32" s="20"/>
      <c r="B32" s="233"/>
      <c r="C32" s="72"/>
      <c r="D32" s="72"/>
      <c r="E32" s="233"/>
      <c r="F32" s="237"/>
      <c r="G32" s="237"/>
      <c r="H32" s="233"/>
      <c r="I32" s="233"/>
      <c r="J32" s="422"/>
      <c r="K32" s="422"/>
      <c r="L32" s="161"/>
      <c r="M32" s="112"/>
      <c r="N32" s="174"/>
      <c r="O32" s="174"/>
      <c r="P32" s="174"/>
      <c r="Q32" s="174"/>
      <c r="R32" s="174"/>
      <c r="S32" s="112"/>
      <c r="T32" s="112"/>
      <c r="U32" s="416">
        <f>IF(OR(J33=""),"",'Kyllinge - regneark'!M49)</f>
        <v>0.8</v>
      </c>
      <c r="V32" s="416"/>
      <c r="W32" s="416"/>
    </row>
    <row r="33" spans="1:20" ht="18" x14ac:dyDescent="0.25">
      <c r="A33" s="20"/>
      <c r="B33" s="176" t="s">
        <v>229</v>
      </c>
      <c r="C33" s="423" t="s">
        <v>233</v>
      </c>
      <c r="D33" s="423"/>
      <c r="E33" s="423"/>
      <c r="F33" s="423"/>
      <c r="G33" s="423"/>
      <c r="H33" s="423"/>
      <c r="I33" s="424"/>
      <c r="J33" s="236">
        <v>1000</v>
      </c>
      <c r="K33" s="231"/>
      <c r="L33" s="176"/>
      <c r="M33" s="112"/>
      <c r="N33" s="174"/>
      <c r="O33" s="174"/>
      <c r="P33" s="174"/>
      <c r="Q33" s="174"/>
      <c r="R33" s="174"/>
      <c r="S33" s="112"/>
      <c r="T33" s="112"/>
    </row>
    <row r="34" spans="1:20" ht="18" x14ac:dyDescent="0.25">
      <c r="A34" s="112"/>
      <c r="B34" s="176"/>
      <c r="C34" s="178"/>
      <c r="D34" s="178"/>
      <c r="E34" s="178"/>
      <c r="F34" s="178"/>
      <c r="G34" s="178"/>
      <c r="H34" s="178"/>
      <c r="I34" s="178"/>
      <c r="J34" s="178"/>
      <c r="K34" s="161"/>
      <c r="L34" s="161"/>
      <c r="M34" s="112"/>
      <c r="N34" s="178"/>
      <c r="O34" s="178"/>
      <c r="P34" s="178"/>
      <c r="Q34" s="178"/>
      <c r="R34" s="178"/>
      <c r="S34" s="112"/>
      <c r="T34" s="112"/>
    </row>
    <row r="35" spans="1:20" ht="18" x14ac:dyDescent="0.25">
      <c r="A35" s="112"/>
      <c r="B35" s="176" t="s">
        <v>113</v>
      </c>
      <c r="C35" s="418" t="s">
        <v>115</v>
      </c>
      <c r="D35" s="418"/>
      <c r="E35" s="418"/>
      <c r="F35" s="418"/>
      <c r="G35" s="418"/>
      <c r="H35" s="418"/>
      <c r="I35" s="419"/>
      <c r="J35" s="185" t="s">
        <v>52</v>
      </c>
      <c r="K35" s="161"/>
      <c r="L35" s="161"/>
      <c r="M35" s="112"/>
      <c r="N35" s="174"/>
      <c r="O35" s="174"/>
      <c r="P35" s="174"/>
      <c r="Q35" s="174"/>
      <c r="R35" s="174"/>
      <c r="S35" s="112"/>
      <c r="T35" s="112"/>
    </row>
    <row r="36" spans="1:20" ht="18" x14ac:dyDescent="0.25">
      <c r="A36" s="112"/>
      <c r="B36" s="176"/>
      <c r="C36" s="205"/>
      <c r="D36" s="205"/>
      <c r="E36" s="205"/>
      <c r="F36" s="205"/>
      <c r="G36" s="205"/>
      <c r="H36" s="205"/>
      <c r="I36" s="203"/>
      <c r="J36" s="203"/>
      <c r="K36" s="180"/>
      <c r="L36" s="161"/>
      <c r="M36" s="112"/>
      <c r="N36" s="174"/>
      <c r="O36" s="174"/>
      <c r="P36" s="174"/>
      <c r="Q36" s="174"/>
      <c r="R36" s="174"/>
      <c r="S36" s="112"/>
      <c r="T36" s="112"/>
    </row>
    <row r="37" spans="1:20" ht="18" customHeight="1" x14ac:dyDescent="0.25">
      <c r="A37" s="112"/>
      <c r="B37" s="176"/>
      <c r="C37" s="420"/>
      <c r="D37" s="420"/>
      <c r="E37" s="420"/>
      <c r="F37" s="420"/>
      <c r="G37" s="420"/>
      <c r="H37" s="421"/>
      <c r="I37" s="186"/>
      <c r="J37" s="206" t="e">
        <f>IF('Grise - regneark'!C32&gt;2,"",IF(J35="Fjernvarme",1,IF(I37="","",IF(J35='[1]Grise - regneark'!C28,"100%",I37))))</f>
        <v>#N/A</v>
      </c>
      <c r="K37" s="161"/>
      <c r="L37" s="161"/>
      <c r="M37" s="112"/>
      <c r="N37" s="174"/>
      <c r="O37" s="174"/>
      <c r="P37" s="174"/>
      <c r="Q37" s="174"/>
      <c r="R37" s="174"/>
      <c r="S37" s="112"/>
      <c r="T37" s="112"/>
    </row>
    <row r="38" spans="1:20" s="183" customFormat="1" ht="4.5" customHeight="1" x14ac:dyDescent="0.25">
      <c r="A38" s="181"/>
      <c r="B38" s="182"/>
      <c r="C38" s="203"/>
      <c r="D38" s="203"/>
      <c r="E38" s="203"/>
      <c r="F38" s="203"/>
      <c r="G38" s="203"/>
      <c r="H38" s="203"/>
      <c r="I38" s="203"/>
      <c r="J38" s="203"/>
      <c r="K38" s="114"/>
      <c r="L38" s="114"/>
      <c r="M38" s="181"/>
      <c r="N38" s="178"/>
      <c r="O38" s="178"/>
      <c r="P38" s="178"/>
      <c r="Q38" s="178"/>
      <c r="R38" s="178"/>
      <c r="S38" s="112"/>
      <c r="T38" s="112"/>
    </row>
    <row r="39" spans="1:20" ht="17.45" customHeight="1" x14ac:dyDescent="0.25">
      <c r="A39" s="112"/>
      <c r="B39" s="176" t="s">
        <v>232</v>
      </c>
      <c r="C39" s="238" t="e">
        <f>IF('Grise - regneark'!C32&gt;2,"Størrelse/varmeydelse på nye varmekilde [kW]","")</f>
        <v>#N/A</v>
      </c>
      <c r="D39" s="238"/>
      <c r="E39" s="240"/>
      <c r="F39" s="240"/>
      <c r="G39" s="240"/>
      <c r="H39" s="240"/>
      <c r="I39" s="72"/>
      <c r="J39" s="229">
        <v>40</v>
      </c>
      <c r="K39" s="161"/>
      <c r="L39" s="161"/>
      <c r="M39" s="112"/>
      <c r="N39" s="174"/>
      <c r="O39" s="174"/>
      <c r="P39" s="174"/>
      <c r="Q39" s="174"/>
      <c r="R39" s="174"/>
      <c r="S39" s="112"/>
      <c r="T39" s="112"/>
    </row>
    <row r="40" spans="1:20" ht="18" x14ac:dyDescent="0.25">
      <c r="A40" s="112"/>
      <c r="B40" s="176"/>
      <c r="C40" s="207"/>
      <c r="D40" s="207"/>
      <c r="E40" s="414"/>
      <c r="F40" s="414"/>
      <c r="G40" s="414"/>
      <c r="H40" s="414"/>
      <c r="I40" s="415">
        <f>IF(OR(J35="",J33="",),"",VLOOKUP(J35,'Kyllinge - regneark'!L55:M60,2,FALSE))</f>
        <v>1</v>
      </c>
      <c r="J40" s="415"/>
      <c r="K40" s="161"/>
      <c r="L40" s="161"/>
      <c r="M40" s="112"/>
      <c r="N40" s="174"/>
      <c r="O40" s="174"/>
      <c r="P40" s="174"/>
      <c r="Q40" s="174"/>
      <c r="R40" s="174"/>
      <c r="S40" s="112"/>
      <c r="T40" s="112"/>
    </row>
    <row r="41" spans="1:20" ht="18" x14ac:dyDescent="0.25">
      <c r="A41" s="112"/>
      <c r="B41" s="182"/>
      <c r="C41" s="207"/>
      <c r="D41" s="207"/>
      <c r="E41" s="208"/>
      <c r="F41" s="208"/>
      <c r="G41" s="208"/>
      <c r="H41" s="208"/>
      <c r="I41" s="204"/>
      <c r="J41" s="204"/>
      <c r="K41" s="114"/>
      <c r="L41" s="114"/>
      <c r="M41" s="112"/>
      <c r="N41" s="174"/>
      <c r="O41" s="174"/>
      <c r="P41" s="174"/>
      <c r="Q41" s="174"/>
      <c r="R41" s="174"/>
      <c r="S41" s="112"/>
      <c r="T41" s="112"/>
    </row>
    <row r="42" spans="1:20" ht="12.75" customHeight="1" x14ac:dyDescent="0.25">
      <c r="A42" s="112"/>
      <c r="B42" s="114"/>
      <c r="C42" s="195"/>
      <c r="D42" s="195"/>
      <c r="E42" s="195"/>
      <c r="F42" s="195"/>
      <c r="G42" s="195"/>
      <c r="H42" s="195"/>
      <c r="I42" s="195"/>
      <c r="J42" s="195"/>
      <c r="K42" s="114"/>
      <c r="L42" s="114"/>
      <c r="M42" s="112"/>
      <c r="N42" s="174"/>
      <c r="O42" s="174"/>
      <c r="P42" s="174"/>
      <c r="Q42" s="174"/>
      <c r="R42" s="174"/>
      <c r="S42" s="112"/>
      <c r="T42" s="112"/>
    </row>
    <row r="43" spans="1:20" ht="12.75" customHeight="1" x14ac:dyDescent="0.25">
      <c r="A43" s="112"/>
      <c r="B43" s="114"/>
      <c r="C43" s="195"/>
      <c r="D43" s="195"/>
      <c r="E43" s="195"/>
      <c r="F43" s="195"/>
      <c r="G43" s="195"/>
      <c r="H43" s="195"/>
      <c r="I43" s="195"/>
      <c r="J43" s="195"/>
      <c r="K43" s="114"/>
      <c r="L43" s="114"/>
      <c r="M43" s="112"/>
      <c r="N43" s="112"/>
      <c r="O43" s="112"/>
      <c r="P43" s="112"/>
      <c r="Q43" s="112"/>
      <c r="R43" s="112"/>
      <c r="S43" s="112"/>
      <c r="T43" s="112"/>
    </row>
    <row r="44" spans="1:20" ht="12.75" customHeight="1" x14ac:dyDescent="0.25">
      <c r="A44" s="112"/>
      <c r="B44" s="114"/>
      <c r="C44" s="114"/>
      <c r="D44" s="114"/>
      <c r="E44" s="114"/>
      <c r="F44" s="114"/>
      <c r="G44" s="114"/>
      <c r="H44" s="114"/>
      <c r="I44" s="195"/>
      <c r="J44" s="195"/>
      <c r="K44" s="114"/>
      <c r="L44" s="114"/>
      <c r="M44" s="112"/>
      <c r="N44" s="112"/>
      <c r="O44" s="112"/>
      <c r="P44" s="112"/>
      <c r="Q44" s="112"/>
      <c r="R44" s="112"/>
      <c r="S44" s="112"/>
      <c r="T44" s="112"/>
    </row>
    <row r="45" spans="1:20" ht="12.75" customHeight="1" x14ac:dyDescent="0.25">
      <c r="A45" s="112"/>
      <c r="B45" s="114"/>
      <c r="C45" s="114"/>
      <c r="D45" s="114"/>
      <c r="E45" s="114"/>
      <c r="F45" s="114"/>
      <c r="G45" s="114"/>
      <c r="H45" s="114"/>
      <c r="I45" s="195"/>
      <c r="J45" s="195"/>
      <c r="K45" s="114"/>
      <c r="L45" s="114"/>
      <c r="M45" s="112"/>
      <c r="N45" s="112"/>
      <c r="O45" s="112"/>
      <c r="P45" s="112"/>
      <c r="Q45" s="112"/>
      <c r="R45" s="112"/>
      <c r="S45" s="112"/>
      <c r="T45" s="112"/>
    </row>
    <row r="46" spans="1:20" ht="12.75" customHeight="1" x14ac:dyDescent="0.25">
      <c r="A46" s="112"/>
      <c r="B46" s="114"/>
      <c r="C46" s="114"/>
      <c r="D46" s="114"/>
      <c r="E46" s="114"/>
      <c r="F46" s="114"/>
      <c r="G46" s="114"/>
      <c r="H46" s="114"/>
      <c r="I46" s="195"/>
      <c r="J46" s="195"/>
      <c r="K46" s="114"/>
      <c r="L46" s="114"/>
      <c r="M46" s="112"/>
      <c r="N46" s="112"/>
      <c r="O46" s="112"/>
      <c r="P46" s="112"/>
      <c r="Q46" s="112"/>
      <c r="R46" s="112"/>
      <c r="S46" s="112"/>
      <c r="T46" s="112"/>
    </row>
    <row r="47" spans="1:20" ht="12.75" customHeight="1" x14ac:dyDescent="0.25">
      <c r="A47" s="112"/>
      <c r="B47" s="114"/>
      <c r="C47" s="114"/>
      <c r="D47" s="114"/>
      <c r="E47" s="114"/>
      <c r="F47" s="114"/>
      <c r="G47" s="114"/>
      <c r="H47" s="114"/>
      <c r="I47" s="114"/>
      <c r="J47" s="114"/>
      <c r="K47" s="114"/>
      <c r="L47" s="114"/>
      <c r="M47" s="112"/>
      <c r="N47" s="112"/>
      <c r="O47" s="112"/>
      <c r="P47" s="112"/>
      <c r="Q47" s="112"/>
      <c r="R47" s="112"/>
      <c r="S47" s="112"/>
      <c r="T47" s="112"/>
    </row>
    <row r="48" spans="1:20" ht="12.75" customHeight="1" x14ac:dyDescent="0.25">
      <c r="A48" s="112"/>
      <c r="B48" s="114"/>
      <c r="C48" s="114"/>
      <c r="D48" s="114"/>
      <c r="E48" s="114"/>
      <c r="F48" s="114"/>
      <c r="G48" s="114"/>
      <c r="H48" s="114"/>
      <c r="I48" s="114"/>
      <c r="J48" s="114"/>
      <c r="K48" s="114"/>
      <c r="L48" s="114"/>
      <c r="M48" s="112"/>
      <c r="N48" s="112"/>
      <c r="O48" s="112"/>
      <c r="P48" s="112"/>
      <c r="Q48" s="112"/>
      <c r="R48" s="112"/>
      <c r="S48" s="112"/>
      <c r="T48" s="112"/>
    </row>
    <row r="49" spans="1:20" ht="12.75" customHeight="1" x14ac:dyDescent="0.25">
      <c r="A49" s="112"/>
      <c r="B49" s="114"/>
      <c r="C49" s="114"/>
      <c r="D49" s="114"/>
      <c r="E49" s="114"/>
      <c r="F49" s="114"/>
      <c r="G49" s="114"/>
      <c r="H49" s="114"/>
      <c r="I49" s="114"/>
      <c r="J49" s="114"/>
      <c r="K49" s="114"/>
      <c r="L49" s="114"/>
      <c r="M49" s="112"/>
      <c r="N49" s="112"/>
      <c r="O49" s="112"/>
      <c r="P49" s="112"/>
      <c r="Q49" s="112"/>
      <c r="R49" s="112"/>
      <c r="S49" s="112"/>
      <c r="T49" s="112"/>
    </row>
    <row r="50" spans="1:20" ht="12.75" customHeight="1" x14ac:dyDescent="0.25">
      <c r="A50" s="112"/>
      <c r="B50" s="114"/>
      <c r="C50" s="114"/>
      <c r="D50" s="114"/>
      <c r="E50" s="114"/>
      <c r="F50" s="114"/>
      <c r="G50" s="114"/>
      <c r="H50" s="114"/>
      <c r="I50" s="114"/>
      <c r="J50" s="114"/>
      <c r="K50" s="114"/>
      <c r="L50" s="114"/>
      <c r="M50" s="112"/>
      <c r="N50" s="112"/>
      <c r="O50" s="112"/>
      <c r="P50" s="112"/>
      <c r="Q50" s="112"/>
      <c r="R50" s="112"/>
      <c r="S50" s="112"/>
      <c r="T50" s="112"/>
    </row>
    <row r="51" spans="1:20" ht="12.75" customHeight="1" x14ac:dyDescent="0.25">
      <c r="A51" s="157"/>
      <c r="B51" s="157"/>
      <c r="C51" s="157"/>
      <c r="D51" s="157"/>
      <c r="E51" s="157"/>
      <c r="F51" s="157"/>
      <c r="G51" s="157"/>
      <c r="H51" s="157"/>
      <c r="I51" s="157"/>
      <c r="J51" s="157"/>
      <c r="K51" s="157"/>
      <c r="L51" s="157"/>
      <c r="M51" s="157"/>
      <c r="N51" s="112"/>
      <c r="O51" s="112"/>
      <c r="P51" s="112"/>
      <c r="Q51" s="112"/>
      <c r="R51" s="112"/>
      <c r="S51" s="157"/>
      <c r="T51" s="112"/>
    </row>
    <row r="52" spans="1:20" ht="12.75" customHeight="1" x14ac:dyDescent="0.25">
      <c r="A52" s="68"/>
      <c r="B52" s="68"/>
      <c r="C52" s="68"/>
      <c r="D52" s="68"/>
      <c r="E52" s="68"/>
      <c r="F52" s="68"/>
      <c r="G52" s="68"/>
      <c r="H52" s="68"/>
      <c r="I52" s="68"/>
      <c r="J52" s="68"/>
      <c r="K52" s="68"/>
      <c r="L52" s="68"/>
      <c r="M52" s="68"/>
      <c r="N52" s="68"/>
      <c r="O52" s="68"/>
      <c r="P52" s="68"/>
      <c r="Q52" s="68"/>
      <c r="R52" s="68"/>
      <c r="S52" s="68"/>
      <c r="T52" s="112"/>
    </row>
    <row r="53" spans="1:20" ht="12.75" customHeight="1" x14ac:dyDescent="0.25">
      <c r="A53" s="68"/>
      <c r="B53" s="68"/>
      <c r="C53" s="68"/>
      <c r="D53" s="68"/>
      <c r="E53" s="68"/>
      <c r="F53" s="68"/>
      <c r="G53" s="68"/>
      <c r="H53" s="68"/>
      <c r="I53" s="68"/>
      <c r="J53" s="68"/>
      <c r="K53" s="68"/>
      <c r="L53" s="68"/>
      <c r="M53" s="68"/>
      <c r="N53" s="68"/>
      <c r="O53" s="68"/>
      <c r="P53" s="68"/>
      <c r="Q53" s="68"/>
      <c r="R53" s="68"/>
      <c r="S53" s="68"/>
      <c r="T53" s="112"/>
    </row>
    <row r="54" spans="1:20" ht="12.75" customHeight="1" x14ac:dyDescent="0.25">
      <c r="A54" s="68"/>
      <c r="B54" s="68"/>
      <c r="C54" s="68"/>
      <c r="D54" s="68"/>
      <c r="E54" s="68"/>
      <c r="F54" s="68"/>
      <c r="G54" s="68"/>
      <c r="H54" s="68"/>
      <c r="I54" s="68"/>
      <c r="J54" s="68"/>
      <c r="K54" s="68"/>
      <c r="L54" s="68"/>
      <c r="M54" s="68"/>
      <c r="N54" s="68"/>
      <c r="O54" s="68"/>
      <c r="P54" s="68"/>
      <c r="Q54" s="68"/>
      <c r="R54" s="68"/>
      <c r="S54" s="68"/>
      <c r="T54" s="112"/>
    </row>
    <row r="55" spans="1:20" ht="12.75" customHeight="1" x14ac:dyDescent="0.25">
      <c r="A55" s="68"/>
      <c r="B55" s="68"/>
      <c r="C55" s="68"/>
      <c r="D55" s="68"/>
      <c r="E55" s="68"/>
      <c r="F55" s="68"/>
      <c r="G55" s="68"/>
      <c r="H55" s="68"/>
      <c r="I55" s="68"/>
      <c r="J55" s="68"/>
      <c r="K55" s="68"/>
      <c r="L55" s="68"/>
      <c r="M55" s="68"/>
      <c r="N55" s="68"/>
      <c r="O55" s="68"/>
      <c r="P55" s="68"/>
      <c r="Q55" s="68"/>
      <c r="R55" s="68"/>
      <c r="S55" s="68"/>
      <c r="T55" s="112"/>
    </row>
    <row r="56" spans="1:20" ht="12.75" customHeight="1" x14ac:dyDescent="0.25">
      <c r="A56" s="68"/>
      <c r="B56" s="68"/>
      <c r="C56" s="68"/>
      <c r="D56" s="68"/>
      <c r="E56" s="68"/>
      <c r="F56" s="68"/>
      <c r="G56" s="68"/>
      <c r="H56" s="68"/>
      <c r="I56" s="68"/>
      <c r="J56" s="68"/>
      <c r="K56" s="68"/>
      <c r="L56" s="68"/>
      <c r="M56" s="68"/>
      <c r="N56" s="68"/>
      <c r="O56" s="68"/>
      <c r="P56" s="68"/>
      <c r="Q56" s="68"/>
      <c r="R56" s="68"/>
      <c r="S56" s="68"/>
      <c r="T56" s="112"/>
    </row>
    <row r="57" spans="1:20" ht="12.75" customHeight="1" x14ac:dyDescent="0.25">
      <c r="A57" s="68"/>
      <c r="B57" s="68"/>
      <c r="C57" s="68"/>
      <c r="D57" s="68"/>
      <c r="E57" s="68"/>
      <c r="F57" s="68"/>
      <c r="G57" s="68"/>
      <c r="H57" s="68"/>
      <c r="I57" s="68"/>
      <c r="J57" s="68"/>
      <c r="K57" s="68"/>
      <c r="L57" s="68"/>
      <c r="M57" s="68"/>
      <c r="N57" s="68"/>
      <c r="O57" s="68"/>
      <c r="P57" s="68"/>
      <c r="Q57" s="68"/>
      <c r="R57" s="68"/>
      <c r="S57" s="68"/>
      <c r="T57" s="112"/>
    </row>
    <row r="58" spans="1:20" ht="12.75" customHeight="1" x14ac:dyDescent="0.25">
      <c r="A58" s="68"/>
      <c r="B58" s="68"/>
      <c r="C58" s="68"/>
      <c r="D58" s="68"/>
      <c r="E58" s="68"/>
      <c r="F58" s="68"/>
      <c r="G58" s="68"/>
      <c r="H58" s="68"/>
      <c r="I58" s="68"/>
      <c r="J58" s="68"/>
      <c r="K58" s="68"/>
      <c r="L58" s="68"/>
      <c r="M58" s="68"/>
      <c r="N58" s="68"/>
      <c r="O58" s="68"/>
      <c r="P58" s="68"/>
      <c r="Q58" s="68"/>
      <c r="R58" s="68"/>
      <c r="S58" s="68"/>
      <c r="T58" s="112"/>
    </row>
    <row r="59" spans="1:20" ht="12.75" customHeight="1" x14ac:dyDescent="0.25">
      <c r="A59" s="68"/>
      <c r="B59" s="68"/>
      <c r="C59" s="68"/>
      <c r="D59" s="68"/>
      <c r="E59" s="68"/>
      <c r="F59" s="68"/>
      <c r="G59" s="68"/>
      <c r="H59" s="68"/>
      <c r="I59" s="68"/>
      <c r="J59" s="68"/>
      <c r="K59" s="68"/>
      <c r="L59" s="68"/>
      <c r="M59" s="68"/>
      <c r="N59" s="68"/>
      <c r="O59" s="68"/>
      <c r="P59" s="68"/>
      <c r="Q59" s="68"/>
      <c r="R59" s="68"/>
      <c r="S59" s="68"/>
      <c r="T59" s="112"/>
    </row>
    <row r="60" spans="1:20" ht="12.75" customHeight="1" x14ac:dyDescent="0.25">
      <c r="A60" s="68"/>
      <c r="B60" s="68"/>
      <c r="C60" s="68"/>
      <c r="D60" s="68"/>
      <c r="E60" s="68"/>
      <c r="F60" s="68"/>
      <c r="G60" s="68"/>
      <c r="H60" s="68"/>
      <c r="I60" s="68"/>
      <c r="J60" s="68"/>
      <c r="K60" s="68"/>
      <c r="L60" s="68"/>
      <c r="M60" s="68"/>
      <c r="N60" s="68"/>
      <c r="O60" s="68"/>
      <c r="P60" s="68"/>
      <c r="Q60" s="68"/>
      <c r="R60" s="68"/>
      <c r="S60" s="68"/>
      <c r="T60" s="112"/>
    </row>
    <row r="61" spans="1:20" ht="12.75" customHeight="1" x14ac:dyDescent="0.25">
      <c r="A61" s="68"/>
      <c r="B61" s="68"/>
      <c r="C61" s="68"/>
      <c r="D61" s="68"/>
      <c r="E61" s="68"/>
      <c r="F61" s="68"/>
      <c r="G61" s="68"/>
      <c r="H61" s="68"/>
      <c r="I61" s="68"/>
      <c r="J61" s="68"/>
      <c r="K61" s="68"/>
      <c r="L61" s="68"/>
      <c r="M61" s="68"/>
      <c r="N61" s="68"/>
      <c r="O61" s="68"/>
      <c r="P61" s="68"/>
      <c r="Q61" s="68"/>
      <c r="R61" s="68"/>
      <c r="S61" s="68"/>
      <c r="T61" s="112"/>
    </row>
    <row r="62" spans="1:20" ht="12.75" customHeight="1" x14ac:dyDescent="0.25">
      <c r="A62" s="68"/>
      <c r="B62" s="68"/>
      <c r="C62" s="68"/>
      <c r="D62" s="68"/>
      <c r="E62" s="68"/>
      <c r="F62" s="68"/>
      <c r="G62" s="68"/>
      <c r="H62" s="68"/>
      <c r="I62" s="68"/>
      <c r="J62" s="68"/>
      <c r="K62" s="68"/>
      <c r="L62" s="68"/>
      <c r="M62" s="68"/>
      <c r="N62" s="68"/>
      <c r="O62" s="68"/>
      <c r="P62" s="68"/>
      <c r="Q62" s="68"/>
      <c r="R62" s="68"/>
      <c r="S62" s="68"/>
      <c r="T62" s="112"/>
    </row>
    <row r="63" spans="1:20" ht="12.75" customHeight="1" x14ac:dyDescent="0.25">
      <c r="A63" s="68"/>
      <c r="B63" s="68"/>
      <c r="C63" s="68"/>
      <c r="D63" s="68"/>
      <c r="E63" s="68"/>
      <c r="F63" s="68"/>
      <c r="G63" s="68"/>
      <c r="H63" s="68"/>
      <c r="I63" s="68"/>
      <c r="J63" s="68"/>
      <c r="K63" s="68"/>
      <c r="L63" s="68"/>
      <c r="M63" s="68"/>
      <c r="N63" s="68"/>
      <c r="O63" s="68"/>
      <c r="P63" s="68"/>
      <c r="Q63" s="68"/>
      <c r="R63" s="68"/>
      <c r="S63" s="112"/>
      <c r="T63" s="112"/>
    </row>
  </sheetData>
  <sheetProtection selectLockedCells="1"/>
  <protectedRanges>
    <protectedRange sqref="I37" name="Område7"/>
    <protectedRange sqref="J39 E40:H40" name="Område1"/>
    <protectedRange sqref="V32 J33 F32:G32" name="Område2"/>
    <protectedRange sqref="J35" name="Område3"/>
    <protectedRange sqref="J27" name="Område4"/>
    <protectedRange sqref="M21:M22 C21:C23 D22:F23" name="Område5"/>
    <protectedRange sqref="J17" name="Område6"/>
  </protectedRanges>
  <mergeCells count="28">
    <mergeCell ref="E40:H40"/>
    <mergeCell ref="I40:J40"/>
    <mergeCell ref="U32:W32"/>
    <mergeCell ref="U31:W31"/>
    <mergeCell ref="C35:I35"/>
    <mergeCell ref="C37:H37"/>
    <mergeCell ref="J32:K32"/>
    <mergeCell ref="E31:G31"/>
    <mergeCell ref="C33:I33"/>
    <mergeCell ref="C27:E27"/>
    <mergeCell ref="C30:J30"/>
    <mergeCell ref="C19:I19"/>
    <mergeCell ref="C17:I17"/>
    <mergeCell ref="D23:E23"/>
    <mergeCell ref="G23:H23"/>
    <mergeCell ref="G22:H22"/>
    <mergeCell ref="C21:D21"/>
    <mergeCell ref="C20:D20"/>
    <mergeCell ref="G20:H20"/>
    <mergeCell ref="G21:H21"/>
    <mergeCell ref="E20:F20"/>
    <mergeCell ref="B6:N7"/>
    <mergeCell ref="C8:N8"/>
    <mergeCell ref="B15:K15"/>
    <mergeCell ref="B2:O4"/>
    <mergeCell ref="P23:R23"/>
    <mergeCell ref="D22:E22"/>
    <mergeCell ref="E21:F21"/>
  </mergeCells>
  <conditionalFormatting sqref="F22:G23 E21 C22:D23 C20:C21 M21:M22">
    <cfRule type="expression" dxfId="48" priority="55">
      <formula>$J$17=""</formula>
    </cfRule>
  </conditionalFormatting>
  <conditionalFormatting sqref="E20">
    <cfRule type="expression" dxfId="47" priority="54">
      <formula>$J$17=""</formula>
    </cfRule>
  </conditionalFormatting>
  <conditionalFormatting sqref="M21">
    <cfRule type="expression" dxfId="46" priority="53">
      <formula>$J$17=""</formula>
    </cfRule>
  </conditionalFormatting>
  <conditionalFormatting sqref="G23">
    <cfRule type="expression" dxfId="45" priority="51">
      <formula>$G$23=0</formula>
    </cfRule>
  </conditionalFormatting>
  <conditionalFormatting sqref="C25:L25 D24:H24 E21 F22:G23 M21:M22 D22:D23 C21:C24">
    <cfRule type="expression" dxfId="44" priority="49">
      <formula>$J$17=""</formula>
    </cfRule>
  </conditionalFormatting>
  <conditionalFormatting sqref="E39:F39 E40 C41:J41 C39 J39">
    <cfRule type="expression" dxfId="43" priority="67">
      <formula>$J$35=""</formula>
    </cfRule>
  </conditionalFormatting>
  <conditionalFormatting sqref="J37">
    <cfRule type="expression" dxfId="42" priority="24">
      <formula>$J$35=""</formula>
    </cfRule>
    <cfRule type="expression" dxfId="41" priority="25">
      <formula>$J$35="Brændselskedel"</formula>
    </cfRule>
    <cfRule type="expression" dxfId="40" priority="31">
      <formula>$J$35=""</formula>
    </cfRule>
  </conditionalFormatting>
  <conditionalFormatting sqref="C39:H39">
    <cfRule type="expression" dxfId="39" priority="32">
      <formula>$J$35=""</formula>
    </cfRule>
  </conditionalFormatting>
  <conditionalFormatting sqref="I37">
    <cfRule type="expression" dxfId="38" priority="27">
      <formula>$J$35=""</formula>
    </cfRule>
  </conditionalFormatting>
  <conditionalFormatting sqref="E21:F21">
    <cfRule type="expression" dxfId="37" priority="17">
      <formula>$J$17="Årsrapport"</formula>
    </cfRule>
  </conditionalFormatting>
  <conditionalFormatting sqref="I21 E21:F21">
    <cfRule type="expression" dxfId="36" priority="16">
      <formula>$J$17="CHR"</formula>
    </cfRule>
  </conditionalFormatting>
  <conditionalFormatting sqref="E21">
    <cfRule type="expression" dxfId="35" priority="50">
      <formula>$J$17=""</formula>
    </cfRule>
    <cfRule type="expression" dxfId="34" priority="52">
      <formula>$G$22:$H$23=0</formula>
    </cfRule>
  </conditionalFormatting>
  <conditionalFormatting sqref="I21">
    <cfRule type="expression" dxfId="33" priority="36">
      <formula>$J$17=""</formula>
    </cfRule>
  </conditionalFormatting>
  <conditionalFormatting sqref="G20:G21">
    <cfRule type="expression" dxfId="32" priority="7">
      <formula>$J$17=""</formula>
    </cfRule>
  </conditionalFormatting>
  <conditionalFormatting sqref="G20:G21">
    <cfRule type="expression" dxfId="31" priority="6">
      <formula>$G$23=0</formula>
    </cfRule>
  </conditionalFormatting>
  <conditionalFormatting sqref="G20:G21">
    <cfRule type="expression" dxfId="30" priority="5">
      <formula>$J$17=""</formula>
    </cfRule>
  </conditionalFormatting>
  <conditionalFormatting sqref="C40:D40">
    <cfRule type="expression" dxfId="29" priority="2">
      <formula>$J$35=""</formula>
    </cfRule>
  </conditionalFormatting>
  <dataValidations count="4">
    <dataValidation type="decimal" allowBlank="1" showInputMessage="1" showErrorMessage="1" sqref="E40:H40" xr:uid="{00000000-0002-0000-0300-000000000000}">
      <formula1>0.5</formula1>
      <formula2>1.05</formula2>
    </dataValidation>
    <dataValidation allowBlank="1" showErrorMessage="1" prompt="Her indtastes optælling af specifikke samlede antal lyskilder, og ikke antal lamper/lysarmaturer. Hvis der f.eks, er to, tre eller fire lyskilder i en lampe/lysaramtur, så skal der optælles hhv. to, tre eller fire lyskilder." sqref="G16:J16 G26:J26 G24 I20:I24" xr:uid="{00000000-0002-0000-0300-000001000000}"/>
    <dataValidation allowBlank="1" showErrorMessage="1" sqref="C17:C19" xr:uid="{00000000-0002-0000-0300-000002000000}"/>
    <dataValidation type="whole" allowBlank="1" showInputMessage="1" showErrorMessage="1" prompt="Indtast årgang for eksisterende kedel/ kalorifer. Årstallet kan typisk findes på kedlens mærkeplade. Hvis ansøger har to kedler eller kalorifer med samme brændsel kan en gennemsnit af årstallet benyttes" sqref="F32:G32" xr:uid="{00000000-0002-0000-0300-000003000000}">
      <formula1>1950</formula1>
      <formula2>2020</formula2>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57" id="{2F716DE6-3694-46E8-AC4B-5972D305DA23}">
            <x14:iconSet iconSet="3Symbols2" custom="1">
              <x14:cfvo type="percent">
                <xm:f>0</xm:f>
              </x14:cfvo>
              <x14:cfvo type="num">
                <xm:f>-0.5</xm:f>
              </x14:cfvo>
              <x14:cfvo type="num">
                <xm:f>0.5</xm:f>
              </x14:cfvo>
              <x14:cfIcon iconSet="3Symbols2" iconId="0"/>
              <x14:cfIcon iconSet="3Symbols2" iconId="1"/>
              <x14:cfIcon iconSet="3Symbols2" iconId="2"/>
            </x14:iconSet>
          </x14:cfRule>
          <xm:sqref>R8:R11</xm:sqref>
        </x14:conditionalFormatting>
        <x14:conditionalFormatting xmlns:xm="http://schemas.microsoft.com/office/excel/2006/main">
          <x14:cfRule type="iconSet" priority="56" id="{45E63E47-CBD3-491C-A8A1-522981C8C6EA}">
            <x14:iconSet iconSet="3Symbols2" custom="1">
              <x14:cfvo type="percent">
                <xm:f>0</xm:f>
              </x14:cfvo>
              <x14:cfvo type="num">
                <xm:f>-0.5</xm:f>
              </x14:cfvo>
              <x14:cfvo type="num">
                <xm:f>0.5</xm:f>
              </x14:cfvo>
              <x14:cfIcon iconSet="3Symbols2" iconId="0"/>
              <x14:cfIcon iconSet="3Symbols2" iconId="1"/>
              <x14:cfIcon iconSet="3Symbols2" iconId="2"/>
            </x14:iconSet>
          </x14:cfRule>
          <xm:sqref>J13</xm:sqref>
        </x14:conditionalFormatting>
        <x14:conditionalFormatting xmlns:xm="http://schemas.microsoft.com/office/excel/2006/main">
          <x14:cfRule type="expression" priority="65" id="{32E57E0F-B6D1-4E9C-B0AE-312D1A431A59}">
            <xm:f>$J$17='\Users\B130824\Downloads\[bilag_5_-_standardloesning_for_udskiftning_af_braendselskedler_i_stalde_120822 (3).xlsx]Grise - regneark'!#REF!</xm:f>
            <x14:dxf/>
          </x14:cfRule>
          <xm:sqref>F22:F23 C22:D23 C21 M21:M22</xm:sqref>
        </x14:conditionalFormatting>
        <x14:conditionalFormatting xmlns:xm="http://schemas.microsoft.com/office/excel/2006/main">
          <x14:cfRule type="expression" priority="43" id="{582C0B05-A2AE-4CB4-A986-B2B89372DC15}">
            <xm:f>$J$17='\Users\B130824\Downloads\[bilag_5_-_standardloesning_for_udskiftning_af_braendselskedler_i_stalde_120822 (3).xlsx]Grise - regneark'!#REF!</xm:f>
            <x14:dxf>
              <font>
                <color theme="9" tint="0.59996337778862885"/>
              </font>
            </x14:dxf>
          </x14:cfRule>
          <x14:cfRule type="expression" priority="44" id="{B88A7E1B-A30B-4B00-9142-F249964C9095}">
            <xm:f>$J$17='\Users\B130824\Downloads\[bilag_5_-_standardloesning_for_udskiftning_af_braendselskedler_i_stalde_120822 (3).xlsx]Grise - regneark'!#REF!</xm:f>
            <x14:dxf/>
          </x14:cfRule>
          <xm:sqref>I20</xm:sqref>
        </x14:conditionalFormatting>
        <x14:conditionalFormatting xmlns:xm="http://schemas.microsoft.com/office/excel/2006/main">
          <x14:cfRule type="expression" priority="39" id="{A9634586-E1DB-477C-8B05-12E41FFF0DD5}">
            <xm:f>$J$17='\Users\B130824\Downloads\[bilag_5_-_standardloesning_for_udskiftning_af_braendselskedler_i_stalde_120822 (3).xlsx]Grise - regneark'!#REF!</xm:f>
            <x14:dxf>
              <font>
                <b/>
                <i val="0"/>
              </font>
              <fill>
                <patternFill>
                  <bgColor theme="0" tint="-0.14996795556505021"/>
                </patternFill>
              </fill>
              <border>
                <left style="thin">
                  <color auto="1"/>
                </left>
                <right style="thin">
                  <color auto="1"/>
                </right>
                <top style="thin">
                  <color auto="1"/>
                </top>
                <bottom style="thin">
                  <color auto="1"/>
                </bottom>
                <vertical/>
                <horizontal/>
              </border>
            </x14:dxf>
          </x14:cfRule>
          <xm:sqref>G24:H24</xm:sqref>
        </x14:conditionalFormatting>
        <x14:conditionalFormatting xmlns:xm="http://schemas.microsoft.com/office/excel/2006/main">
          <x14:cfRule type="expression" priority="37" id="{A239B412-4167-4C7D-BE48-EA8FF54FCF79}">
            <xm:f>$J$17='\Users\B130824\Downloads\[bilag_5_-_standardloesning_for_udskiftning_af_braendselskedler_i_stalde_120822 (3).xlsx]Grise - regneark'!#REF!</xm:f>
            <x14:dxf>
              <font>
                <b/>
                <i val="0"/>
              </font>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38" id="{4E9194FE-DA05-472E-A8C3-61EE458BC1E6}">
            <xm:f>$J$17='\Users\B130824\Downloads\[bilag_5_-_standardloesning_for_udskiftning_af_braendselskedler_i_stalde_120822 (3).xlsx]Grise - regneark'!#REF!</xm:f>
            <x14:dxf>
              <font>
                <b/>
                <i val="0"/>
              </font>
              <fill>
                <patternFill>
                  <bgColor theme="9" tint="0.59996337778862885"/>
                </patternFill>
              </fill>
              <border>
                <left style="thin">
                  <color auto="1"/>
                </left>
                <right style="thin">
                  <color auto="1"/>
                </right>
                <top style="thin">
                  <color auto="1"/>
                </top>
                <bottom style="thin">
                  <color auto="1"/>
                </bottom>
                <vertical/>
                <horizontal/>
              </border>
            </x14:dxf>
          </x14:cfRule>
          <xm:sqref>I24</xm:sqref>
        </x14:conditionalFormatting>
        <x14:conditionalFormatting xmlns:xm="http://schemas.microsoft.com/office/excel/2006/main">
          <x14:cfRule type="expression" priority="68" id="{14F2932F-3053-4C24-A21F-A6FB65C81B3D}">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69" id="{94AA2F19-F639-49CA-A1F5-4E28488F6FAD}">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E39:F39 E41:F41 E40 I41 C39 C41 J39</xm:sqref>
        </x14:conditionalFormatting>
        <x14:conditionalFormatting xmlns:xm="http://schemas.microsoft.com/office/excel/2006/main">
          <x14:cfRule type="expression" priority="30" id="{73636485-9D89-46E4-AF08-136AC5BAD08E}">
            <xm:f>$J$35='\Users\B130824\Downloads\[bilag_5_-_standardloesning_for_udskiftning_af_braendselskedler_i_stalde_120822 (3).xlsx]Grise - regneark'!#REF!</xm:f>
            <x14:dxf>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35" id="{5598BC12-46F4-4194-86EB-41AFB27D906A}">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style="thin">
                  <color auto="1"/>
                </top>
                <bottom/>
                <vertical/>
                <horizontal/>
              </border>
            </x14:dxf>
          </x14:cfRule>
          <xm:sqref>J37</xm:sqref>
        </x14:conditionalFormatting>
        <x14:conditionalFormatting xmlns:xm="http://schemas.microsoft.com/office/excel/2006/main">
          <x14:cfRule type="expression" priority="34" id="{0F9B92A8-C848-4975-9F74-40EB77C029B3}">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C41:J41 E40 C39:H39 J39</xm:sqref>
        </x14:conditionalFormatting>
        <x14:conditionalFormatting xmlns:xm="http://schemas.microsoft.com/office/excel/2006/main">
          <x14:cfRule type="expression" priority="33" id="{94A1414F-CD4E-49E7-8F8B-A49E349837AC}">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C39:H39</xm:sqref>
        </x14:conditionalFormatting>
        <x14:conditionalFormatting xmlns:xm="http://schemas.microsoft.com/office/excel/2006/main">
          <x14:cfRule type="expression" priority="28" id="{AC5E0AB7-15FD-41E8-88CF-1FB10BADC7F5}">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29" id="{3860DF4D-86D4-461F-B131-9BE71C296ABB}">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I37</xm:sqref>
        </x14:conditionalFormatting>
        <x14:conditionalFormatting xmlns:xm="http://schemas.microsoft.com/office/excel/2006/main">
          <x14:cfRule type="iconSet" priority="70" id="{7009F22B-61F7-44F9-AF94-F79A98AD6E0F}">
            <x14:iconSet iconSet="3Symbols2" custom="1">
              <x14:cfvo type="percent">
                <xm:f>0</xm:f>
              </x14:cfvo>
              <x14:cfvo type="num">
                <xm:f>-0.5</xm:f>
              </x14:cfvo>
              <x14:cfvo type="num">
                <xm:f>0.5</xm:f>
              </x14:cfvo>
              <x14:cfIcon iconSet="3Symbols2" iconId="0"/>
              <x14:cfIcon iconSet="3Symbols2" iconId="1"/>
              <x14:cfIcon iconSet="3Symbols2" iconId="2"/>
            </x14:iconSet>
          </x14:cfRule>
          <xm:sqref>K14:L14</xm:sqref>
        </x14:conditionalFormatting>
        <x14:conditionalFormatting xmlns:xm="http://schemas.microsoft.com/office/excel/2006/main">
          <x14:cfRule type="expression" priority="21" id="{6AA0FF6A-1A12-47C5-BD40-C40DA82B7B0F}">
            <xm:f>'Grise - regneark'!$C$32&gt;2</xm:f>
            <x14:dxf>
              <font>
                <color theme="1"/>
              </font>
              <fill>
                <patternFill>
                  <bgColor rgb="FFFFFF00"/>
                </patternFill>
              </fill>
              <border>
                <left style="thin">
                  <color auto="1"/>
                </left>
                <right style="thin">
                  <color auto="1"/>
                </right>
                <top style="thin">
                  <color auto="1"/>
                </top>
                <bottom style="thin">
                  <color auto="1"/>
                </bottom>
                <vertical/>
                <horizontal/>
              </border>
            </x14:dxf>
          </x14:cfRule>
          <xm:sqref>J39</xm:sqref>
        </x14:conditionalFormatting>
        <x14:conditionalFormatting xmlns:xm="http://schemas.microsoft.com/office/excel/2006/main">
          <x14:cfRule type="expression" priority="45" id="{C4A0D3B8-C73C-476B-AA70-4DCB493BC20C}">
            <xm:f>$J$17='Kyllinge - regneark'!$B$13</xm:f>
            <x14:dxf>
              <font>
                <color auto="1"/>
              </font>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46" id="{DB8B1243-670B-4772-A8C4-3A4338345BA4}">
            <xm:f>$J$17='Kyllinge - regneark'!$B$13</xm:f>
            <x14:dxf>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47" id="{5DD09A67-7C5B-4852-B810-BCCECBC74664}">
            <xm:f>$J$17='Kyllinge - regneark'!$B$13</xm:f>
            <x14:dxf>
              <font>
                <color theme="9" tint="0.59996337778862885"/>
              </font>
              <fill>
                <patternFill>
                  <bgColor theme="9" tint="0.59996337778862885"/>
                </patternFill>
              </fill>
              <border>
                <left style="thin">
                  <color auto="1"/>
                </left>
                <right/>
                <top/>
                <bottom/>
                <vertical/>
                <horizontal/>
              </border>
            </x14:dxf>
          </x14:cfRule>
          <x14:cfRule type="expression" priority="48" id="{72E90A92-0B07-4692-B811-8ECBBDFD793D}">
            <xm:f>$J$17='Kyllinge - regneark'!$B$13</xm:f>
            <x14:dxf/>
          </x14:cfRule>
          <x14:cfRule type="expression" priority="58" id="{E6FDD37D-3356-478A-8987-DBB4F512DC30}">
            <xm:f>$J$17='Kyllinge - regneark'!$B$13</xm:f>
            <x14:dxf>
              <font>
                <color theme="9" tint="0.59996337778862885"/>
              </font>
              <fill>
                <patternFill>
                  <bgColor theme="9" tint="0.59996337778862885"/>
                </patternFill>
              </fill>
              <border>
                <left style="thin">
                  <color auto="1"/>
                </left>
                <right/>
                <top/>
                <bottom/>
                <vertical/>
                <horizontal/>
              </border>
            </x14:dxf>
          </x14:cfRule>
          <x14:cfRule type="expression" priority="59" id="{EA6E10BD-79DC-423F-80C3-66AADA1404AA}">
            <xm:f>$J$17='Kyllinge - regneark'!$B$13</xm:f>
            <x14:dxf>
              <fill>
                <patternFill>
                  <bgColor theme="9" tint="0.59996337778862885"/>
                </patternFill>
              </fill>
              <border>
                <left style="thin">
                  <color auto="1"/>
                </left>
                <right/>
                <top/>
                <bottom/>
                <vertical/>
                <horizontal/>
              </border>
            </x14:dxf>
          </x14:cfRule>
          <x14:cfRule type="expression" priority="60" id="{1587A693-F2D9-49B5-8249-1929192E48C8}">
            <xm:f>$J$17='Kyllinge - regneark'!$B$13</xm:f>
            <x14:dxf>
              <fill>
                <patternFill>
                  <bgColor theme="9" tint="0.59996337778862885"/>
                </patternFill>
              </fill>
              <border>
                <left style="thin">
                  <color auto="1"/>
                </left>
                <right/>
                <top/>
                <bottom/>
                <vertical/>
                <horizontal/>
              </border>
            </x14:dxf>
          </x14:cfRule>
          <x14:cfRule type="expression" priority="61" id="{7CE77CEC-2F99-4A22-9ED5-FE0A72C57717}">
            <xm:f>$J$17='Kyllinge - regneark'!$B$13</xm:f>
            <x14:dxf/>
          </x14:cfRule>
          <x14:cfRule type="expression" priority="62" id="{44592E4A-FBFB-4B58-9E8F-C0C42E4E2164}">
            <xm:f>$J$17='Kyllinge - regneark'!$B$13</xm:f>
            <x14:dxf>
              <fill>
                <patternFill>
                  <bgColor theme="9" tint="0.59996337778862885"/>
                </patternFill>
              </fill>
              <border>
                <left/>
                <right style="thin">
                  <color auto="1"/>
                </right>
                <top style="thin">
                  <color auto="1"/>
                </top>
                <bottom style="thin">
                  <color auto="1"/>
                </bottom>
                <vertical/>
                <horizontal/>
              </border>
            </x14:dxf>
          </x14:cfRule>
          <x14:cfRule type="expression" priority="63" id="{97CB42CF-8E89-4083-8537-6F178CDAED4E}">
            <xm:f>$J$17='Kyllinge - regneark'!$B$13</xm:f>
            <x14:dxf>
              <fill>
                <patternFill>
                  <bgColor theme="9" tint="0.59996337778862885"/>
                </patternFill>
              </fill>
              <border>
                <left/>
                <right/>
                <top/>
                <bottom/>
                <vertical/>
                <horizontal/>
              </border>
            </x14:dxf>
          </x14:cfRule>
          <x14:cfRule type="expression" priority="64" id="{FAD1C65C-C29D-4588-B1A1-DC788A8D3BAD}">
            <xm:f>$E$21='Kyllinge - regneark'!$B$13</xm:f>
            <x14:dxf>
              <fill>
                <patternFill>
                  <bgColor theme="9" tint="0.59996337778862885"/>
                </patternFill>
              </fill>
              <border>
                <left/>
                <right/>
                <top/>
                <bottom/>
                <vertical/>
                <horizontal/>
              </border>
            </x14:dxf>
          </x14:cfRule>
          <x14:cfRule type="expression" priority="66" id="{02C85228-7F98-491E-BD70-13B7F031B5E3}">
            <xm:f>$J$17='Kyllinge - regneark'!$B$13</xm:f>
            <x14:dxf>
              <font>
                <color theme="9" tint="0.59996337778862885"/>
              </font>
              <fill>
                <patternFill>
                  <bgColor theme="9" tint="0.59996337778862885"/>
                </patternFill>
              </fill>
              <border>
                <left style="thin">
                  <color auto="1"/>
                </left>
                <right/>
                <top/>
                <bottom/>
                <vertical/>
                <horizontal/>
              </border>
            </x14:dxf>
          </x14:cfRule>
          <xm:sqref>E21</xm:sqref>
        </x14:conditionalFormatting>
        <x14:conditionalFormatting xmlns:xm="http://schemas.microsoft.com/office/excel/2006/main">
          <x14:cfRule type="expression" priority="41" id="{EBC7CE15-184D-49F3-B4C5-AA0E0847E5EC}">
            <xm:f>$J$17='Kyllinge - regneark'!$C$13</xm:f>
            <x14:dxf>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42" id="{5695DC09-FF8C-4AFA-8417-40C6C2B56DEA}">
            <xm:f>$J$17='Kyllinge - regneark'!$C$13</xm:f>
            <x14:dxf/>
          </x14:cfRule>
          <xm:sqref>I21</xm:sqref>
        </x14:conditionalFormatting>
        <x14:conditionalFormatting xmlns:xm="http://schemas.microsoft.com/office/excel/2006/main">
          <x14:cfRule type="expression" priority="3" id="{97F72C2A-2E81-4D4C-BDD7-C46A89ACDD31}">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4" id="{B0583EEC-59C8-416B-825B-33FB8FD75059}">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C40:D40</xm:sqref>
        </x14:conditionalFormatting>
        <x14:conditionalFormatting xmlns:xm="http://schemas.microsoft.com/office/excel/2006/main">
          <x14:cfRule type="expression" priority="1" id="{9C4EC17E-9A4D-4CA9-8280-0B8AF366FF3F}">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C40:D40</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4000000}">
          <x14:formula1>
            <xm:f>'Kyllinge - regneark'!$B$25:$C$25</xm:f>
          </x14:formula1>
          <xm:sqref>Q8:Q11</xm:sqref>
        </x14:dataValidation>
        <x14:dataValidation type="list" allowBlank="1" showErrorMessage="1" error="Der kan indtastes værdier mellem 0 og 24" xr:uid="{00000000-0002-0000-0300-000005000000}">
          <x14:formula1>
            <xm:f>'Kyllinge - regneark'!$B$13:$C$13</xm:f>
          </x14:formula1>
          <xm:sqref>J17</xm:sqref>
        </x14:dataValidation>
        <x14:dataValidation type="list" allowBlank="1" showInputMessage="1" showErrorMessage="1" xr:uid="{00000000-0002-0000-0300-000006000000}">
          <x14:formula1>
            <xm:f>'Kyllinge - regneark'!$P$41:$P$48</xm:f>
          </x14:formula1>
          <xm:sqref>J27</xm:sqref>
        </x14:dataValidation>
        <x14:dataValidation type="list" allowBlank="1" showInputMessage="1" showErrorMessage="1" xr:uid="{00000000-0002-0000-0300-000007000000}">
          <x14:formula1>
            <xm:f>'Kyllinge - regneark'!$L$55:$L$60</xm:f>
          </x14:formula1>
          <xm:sqref>J35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E57"/>
  <sheetViews>
    <sheetView topLeftCell="A4" zoomScaleNormal="100" workbookViewId="0">
      <selection activeCell="I34" sqref="I34:J34"/>
    </sheetView>
  </sheetViews>
  <sheetFormatPr defaultColWidth="9.140625" defaultRowHeight="15" x14ac:dyDescent="0.25"/>
  <cols>
    <col min="1" max="9" width="9.140625" style="272" customWidth="1"/>
    <col min="10" max="10" width="12" style="272" customWidth="1"/>
    <col min="11" max="12" width="9.140625" style="272" customWidth="1"/>
    <col min="13" max="13" width="19.140625" style="272" customWidth="1"/>
    <col min="14" max="14" width="17.140625" style="272" customWidth="1"/>
    <col min="15" max="15" width="15.42578125" style="272" customWidth="1"/>
    <col min="16" max="19" width="9.140625" style="272" customWidth="1"/>
    <col min="20" max="20" width="13.7109375" style="272" customWidth="1"/>
    <col min="21" max="21" width="9.140625" style="272" customWidth="1"/>
    <col min="22" max="22" width="11.85546875" style="272" customWidth="1"/>
    <col min="23" max="23" width="9.140625" style="272" customWidth="1"/>
    <col min="24" max="24" width="9" style="272" customWidth="1"/>
    <col min="25" max="31" width="9.140625" style="272"/>
    <col min="32" max="16384" width="9.140625" style="273"/>
  </cols>
  <sheetData>
    <row r="1" spans="1:31" x14ac:dyDescent="0.25">
      <c r="A1" s="91"/>
      <c r="B1" s="91"/>
      <c r="C1" s="91"/>
      <c r="D1" s="91"/>
      <c r="E1" s="91"/>
      <c r="F1" s="91"/>
      <c r="G1" s="91"/>
      <c r="H1" s="91"/>
      <c r="I1" s="91"/>
      <c r="J1" s="91"/>
      <c r="K1" s="91"/>
      <c r="L1" s="91"/>
      <c r="M1" s="91"/>
      <c r="N1" s="91"/>
      <c r="O1" s="91"/>
      <c r="P1" s="91"/>
      <c r="Q1" s="91"/>
      <c r="R1" s="91"/>
      <c r="S1" s="91"/>
      <c r="T1" s="91"/>
      <c r="U1" s="91"/>
      <c r="V1" s="91"/>
      <c r="W1" s="91"/>
      <c r="X1" s="91"/>
    </row>
    <row r="2" spans="1:31" x14ac:dyDescent="0.25">
      <c r="A2" s="91"/>
      <c r="B2" s="91"/>
      <c r="C2" s="91"/>
      <c r="D2" s="91"/>
      <c r="E2" s="91"/>
      <c r="F2" s="91"/>
      <c r="G2" s="91"/>
      <c r="H2" s="91"/>
      <c r="I2" s="91"/>
      <c r="J2" s="91"/>
      <c r="K2" s="63"/>
      <c r="L2" s="91"/>
      <c r="M2" s="91"/>
      <c r="N2" s="91"/>
      <c r="O2" s="91"/>
      <c r="P2" s="91"/>
      <c r="Q2" s="91"/>
      <c r="R2" s="91"/>
      <c r="S2" s="91"/>
      <c r="T2" s="91"/>
      <c r="U2" s="91"/>
      <c r="V2" s="91"/>
      <c r="W2" s="91"/>
      <c r="X2" s="91"/>
    </row>
    <row r="3" spans="1:31" ht="15" customHeight="1" x14ac:dyDescent="0.25">
      <c r="A3" s="64"/>
      <c r="B3" s="64"/>
      <c r="C3" s="64"/>
      <c r="D3" s="64"/>
      <c r="E3" s="64"/>
      <c r="F3" s="64"/>
      <c r="G3" s="64"/>
      <c r="H3" s="64"/>
      <c r="I3" s="64"/>
      <c r="J3" s="64"/>
      <c r="K3" s="63"/>
      <c r="L3" s="64"/>
      <c r="M3" s="64"/>
      <c r="N3" s="64"/>
      <c r="O3" s="64"/>
      <c r="P3" s="64"/>
      <c r="Q3" s="64"/>
      <c r="R3" s="64"/>
      <c r="S3" s="64"/>
      <c r="T3" s="64"/>
      <c r="U3" s="64"/>
      <c r="V3" s="64"/>
      <c r="W3" s="64"/>
      <c r="X3" s="64"/>
      <c r="Y3" s="273"/>
      <c r="Z3" s="273"/>
      <c r="AA3" s="273"/>
      <c r="AB3" s="273"/>
      <c r="AC3" s="273"/>
      <c r="AD3" s="273"/>
      <c r="AE3" s="273"/>
    </row>
    <row r="4" spans="1:31" ht="15" customHeight="1" x14ac:dyDescent="0.25">
      <c r="A4" s="64"/>
      <c r="B4" s="274" t="str">
        <f>Beskrivelse!C13</f>
        <v xml:space="preserve">Tiltag 2 Udskiftning af varmeforsyning - opvarmning og udtørring af konventionelle svinestalde </v>
      </c>
      <c r="C4" s="64"/>
      <c r="D4" s="64"/>
      <c r="E4" s="64"/>
      <c r="F4" s="64"/>
      <c r="G4" s="64"/>
      <c r="H4" s="64"/>
      <c r="I4" s="64"/>
      <c r="J4" s="64"/>
      <c r="K4" s="64"/>
      <c r="L4" s="64"/>
      <c r="M4" s="64"/>
      <c r="N4" s="64"/>
      <c r="O4" s="64"/>
      <c r="P4" s="64"/>
      <c r="Q4" s="64"/>
      <c r="R4" s="64"/>
      <c r="S4" s="64"/>
      <c r="T4" s="64"/>
      <c r="U4" s="64"/>
      <c r="V4" s="64"/>
      <c r="W4" s="64" t="str">
        <f>Forside!P4</f>
        <v>Vers. 6  15.07.2025</v>
      </c>
      <c r="X4" s="91"/>
      <c r="Y4" s="273"/>
      <c r="Z4" s="273"/>
      <c r="AA4" s="273"/>
      <c r="AB4" s="273"/>
      <c r="AC4" s="273"/>
      <c r="AD4" s="273"/>
      <c r="AE4" s="273"/>
    </row>
    <row r="5" spans="1:31" ht="15" customHeight="1" x14ac:dyDescent="0.25">
      <c r="A5" s="39"/>
      <c r="B5" s="39"/>
      <c r="C5" s="39"/>
      <c r="D5" s="39"/>
      <c r="E5" s="39"/>
      <c r="F5" s="39"/>
      <c r="G5" s="39"/>
      <c r="H5" s="39"/>
      <c r="I5" s="39"/>
      <c r="J5" s="39"/>
      <c r="K5" s="39"/>
      <c r="L5" s="39"/>
      <c r="M5" s="39"/>
      <c r="N5" s="39"/>
      <c r="O5" s="39"/>
      <c r="P5" s="39"/>
      <c r="Q5" s="39"/>
      <c r="R5" s="39"/>
      <c r="S5" s="39"/>
      <c r="T5" s="39"/>
      <c r="U5" s="39"/>
      <c r="V5" s="39"/>
      <c r="W5" s="39"/>
      <c r="X5" s="39"/>
      <c r="Y5" s="273"/>
      <c r="Z5" s="273"/>
      <c r="AA5" s="273"/>
      <c r="AB5" s="273"/>
      <c r="AC5" s="273"/>
      <c r="AD5" s="273"/>
      <c r="AE5" s="273"/>
    </row>
    <row r="6" spans="1:31" ht="15" customHeight="1" x14ac:dyDescent="0.25">
      <c r="A6" s="64"/>
      <c r="B6" s="112"/>
      <c r="C6" s="112"/>
      <c r="D6" s="112"/>
      <c r="E6" s="112"/>
      <c r="F6" s="112"/>
      <c r="G6" s="112"/>
      <c r="H6" s="112"/>
      <c r="I6" s="112"/>
      <c r="J6" s="112"/>
      <c r="K6" s="112"/>
      <c r="L6" s="112"/>
      <c r="M6" s="112"/>
      <c r="N6" s="112"/>
      <c r="O6" s="112"/>
      <c r="P6" s="112"/>
      <c r="Q6" s="112"/>
      <c r="R6" s="112"/>
      <c r="S6" s="112"/>
      <c r="T6" s="73"/>
      <c r="U6" s="20"/>
      <c r="V6" s="20"/>
      <c r="W6" s="20"/>
      <c r="X6" s="64"/>
      <c r="Y6" s="273"/>
      <c r="Z6" s="273"/>
      <c r="AA6" s="273"/>
      <c r="AB6" s="273"/>
      <c r="AC6" s="273"/>
      <c r="AD6" s="273"/>
      <c r="AE6" s="273"/>
    </row>
    <row r="7" spans="1:31" ht="15" customHeight="1" x14ac:dyDescent="0.25">
      <c r="A7" s="64"/>
      <c r="B7" s="112" t="s">
        <v>6</v>
      </c>
      <c r="C7" s="112"/>
      <c r="D7" s="112"/>
      <c r="E7" s="112"/>
      <c r="F7" s="112"/>
      <c r="G7" s="112"/>
      <c r="H7" s="112"/>
      <c r="I7" s="112"/>
      <c r="J7" s="112"/>
      <c r="K7" s="112"/>
      <c r="L7" s="112"/>
      <c r="M7" s="112"/>
      <c r="N7" s="112"/>
      <c r="O7" s="112"/>
      <c r="P7" s="112"/>
      <c r="Q7" s="112"/>
      <c r="R7" s="112"/>
      <c r="S7" s="112"/>
      <c r="T7" s="69"/>
      <c r="U7" s="69"/>
      <c r="V7" s="69"/>
      <c r="W7" s="69"/>
      <c r="X7" s="64"/>
      <c r="Y7" s="273"/>
      <c r="Z7" s="273"/>
      <c r="AA7" s="273"/>
      <c r="AB7" s="273"/>
      <c r="AC7" s="273"/>
      <c r="AD7" s="273"/>
      <c r="AE7" s="273"/>
    </row>
    <row r="8" spans="1:31" x14ac:dyDescent="0.25">
      <c r="A8" s="64"/>
      <c r="B8" s="457" t="s">
        <v>7</v>
      </c>
      <c r="C8" s="492" t="s">
        <v>283</v>
      </c>
      <c r="D8" s="492"/>
      <c r="E8" s="492"/>
      <c r="F8" s="492"/>
      <c r="G8" s="492"/>
      <c r="H8" s="492"/>
      <c r="I8" s="492"/>
      <c r="J8" s="492"/>
      <c r="K8" s="492"/>
      <c r="L8" s="492"/>
      <c r="M8" s="492"/>
      <c r="N8" s="492"/>
      <c r="O8" s="461"/>
      <c r="P8" s="493">
        <f>IF(O8="",0,IF(O8=U8,1,-1))</f>
        <v>0</v>
      </c>
      <c r="Q8" s="265"/>
      <c r="R8" s="265"/>
      <c r="S8" s="265"/>
      <c r="T8" s="362"/>
      <c r="U8" s="156" t="s">
        <v>202</v>
      </c>
      <c r="V8" s="259"/>
      <c r="W8" s="259"/>
      <c r="X8" s="64"/>
      <c r="Y8" s="273"/>
      <c r="Z8" s="273"/>
      <c r="AA8" s="273"/>
      <c r="AB8" s="273"/>
      <c r="AC8" s="273"/>
      <c r="AD8" s="273"/>
      <c r="AE8" s="273"/>
    </row>
    <row r="9" spans="1:31" x14ac:dyDescent="0.25">
      <c r="A9" s="64"/>
      <c r="B9" s="457" t="s">
        <v>7</v>
      </c>
      <c r="C9" s="492" t="s">
        <v>291</v>
      </c>
      <c r="D9" s="492"/>
      <c r="E9" s="492"/>
      <c r="F9" s="492"/>
      <c r="G9" s="492"/>
      <c r="H9" s="492"/>
      <c r="I9" s="492"/>
      <c r="J9" s="492"/>
      <c r="K9" s="492"/>
      <c r="L9" s="492"/>
      <c r="M9" s="492"/>
      <c r="N9" s="492"/>
      <c r="O9" s="461"/>
      <c r="P9" s="493">
        <f>IF(O9="",0,IF(O9=U9,1,-1))</f>
        <v>0</v>
      </c>
      <c r="Q9" s="265"/>
      <c r="R9" s="265"/>
      <c r="S9" s="265"/>
      <c r="T9" s="362"/>
      <c r="U9" s="156" t="s">
        <v>194</v>
      </c>
      <c r="V9" s="259"/>
      <c r="W9" s="259"/>
      <c r="X9" s="64"/>
      <c r="Y9" s="273"/>
      <c r="Z9" s="273"/>
      <c r="AA9" s="273"/>
      <c r="AB9" s="273"/>
      <c r="AC9" s="273"/>
      <c r="AD9" s="273"/>
      <c r="AE9" s="273"/>
    </row>
    <row r="10" spans="1:31" x14ac:dyDescent="0.25">
      <c r="A10" s="64"/>
      <c r="B10" s="457" t="s">
        <v>7</v>
      </c>
      <c r="C10" s="494" t="s">
        <v>242</v>
      </c>
      <c r="D10" s="494"/>
      <c r="E10" s="494"/>
      <c r="F10" s="494"/>
      <c r="G10" s="494"/>
      <c r="H10" s="494"/>
      <c r="I10" s="494"/>
      <c r="J10" s="494"/>
      <c r="K10" s="494"/>
      <c r="L10" s="494" t="s">
        <v>215</v>
      </c>
      <c r="M10" s="494"/>
      <c r="N10" s="492"/>
      <c r="O10" s="461"/>
      <c r="P10" s="493">
        <f>IF(O10="",0,IF(O10=U10,1,-1))</f>
        <v>0</v>
      </c>
      <c r="Q10" s="362"/>
      <c r="R10" s="362"/>
      <c r="S10" s="362"/>
      <c r="T10" s="362"/>
      <c r="U10" s="156" t="s">
        <v>8</v>
      </c>
      <c r="V10" s="259"/>
      <c r="W10" s="259"/>
      <c r="X10" s="64"/>
      <c r="Y10" s="273"/>
      <c r="Z10" s="273"/>
      <c r="AA10" s="273"/>
      <c r="AB10" s="273"/>
      <c r="AC10" s="273"/>
      <c r="AD10" s="273"/>
      <c r="AE10" s="273"/>
    </row>
    <row r="11" spans="1:31" x14ac:dyDescent="0.25">
      <c r="A11" s="64"/>
      <c r="B11" s="85"/>
      <c r="C11" s="250"/>
      <c r="D11" s="250"/>
      <c r="E11" s="250"/>
      <c r="F11" s="250"/>
      <c r="G11" s="250"/>
      <c r="H11" s="250"/>
      <c r="I11" s="250"/>
      <c r="J11" s="250"/>
      <c r="K11" s="250"/>
      <c r="L11" s="250"/>
      <c r="M11" s="250"/>
      <c r="N11" s="250"/>
      <c r="O11" s="250"/>
      <c r="P11" s="250"/>
      <c r="Q11" s="250"/>
      <c r="R11" s="250"/>
      <c r="S11" s="250"/>
      <c r="T11" s="250"/>
      <c r="U11" s="251"/>
      <c r="V11" s="250"/>
      <c r="W11" s="249"/>
      <c r="X11" s="64"/>
      <c r="Y11" s="273"/>
      <c r="Z11" s="273"/>
      <c r="AA11" s="273"/>
      <c r="AB11" s="273"/>
      <c r="AC11" s="273"/>
      <c r="AD11" s="273"/>
      <c r="AE11" s="273"/>
    </row>
    <row r="12" spans="1:31" ht="29.25" x14ac:dyDescent="0.25">
      <c r="A12" s="64"/>
      <c r="B12" s="252" t="str">
        <f>IF(L12=0,"Spørgsmål om afgrænsning er ikke besvaret",IF(L12=1,"Projektet er omfattet af standardløsningen","Projektet er IKKE omfattet af standardløsningen"))</f>
        <v>Spørgsmål om afgrænsning er ikke besvaret</v>
      </c>
      <c r="C12" s="253"/>
      <c r="D12" s="253"/>
      <c r="E12" s="253"/>
      <c r="F12" s="253"/>
      <c r="G12" s="253"/>
      <c r="H12" s="253"/>
      <c r="I12" s="300" t="s">
        <v>39</v>
      </c>
      <c r="J12" s="256"/>
      <c r="K12" s="275"/>
      <c r="L12" s="495">
        <f>MIN(P8:P10)</f>
        <v>0</v>
      </c>
      <c r="M12" s="254"/>
      <c r="N12" s="91"/>
      <c r="O12" s="254"/>
      <c r="P12" s="253"/>
      <c r="Q12" s="253"/>
      <c r="R12" s="253"/>
      <c r="S12" s="250"/>
      <c r="T12" s="250"/>
      <c r="U12" s="250"/>
      <c r="V12" s="250"/>
      <c r="W12" s="250"/>
      <c r="X12" s="64"/>
      <c r="Y12" s="273"/>
      <c r="Z12" s="273"/>
      <c r="AA12" s="273"/>
      <c r="AB12" s="273"/>
      <c r="AC12" s="273"/>
      <c r="AD12" s="273"/>
      <c r="AE12" s="273"/>
    </row>
    <row r="13" spans="1:31" ht="15" customHeight="1" x14ac:dyDescent="0.25">
      <c r="A13" s="64"/>
      <c r="B13" s="64"/>
      <c r="C13" s="64"/>
      <c r="D13" s="64"/>
      <c r="E13" s="64"/>
      <c r="F13" s="64"/>
      <c r="G13" s="64"/>
      <c r="H13" s="64"/>
      <c r="I13" s="64"/>
      <c r="J13" s="64"/>
      <c r="K13" s="64"/>
      <c r="L13" s="64"/>
      <c r="M13" s="64"/>
      <c r="N13" s="64"/>
      <c r="O13" s="64"/>
      <c r="P13" s="64"/>
      <c r="Q13" s="425" t="s">
        <v>64</v>
      </c>
      <c r="R13" s="425"/>
      <c r="S13" s="425"/>
      <c r="T13" s="425"/>
      <c r="U13" s="425"/>
      <c r="V13" s="425"/>
      <c r="W13" s="425"/>
      <c r="X13" s="64"/>
      <c r="Y13" s="273"/>
      <c r="Z13" s="273"/>
      <c r="AA13" s="273"/>
      <c r="AB13" s="273"/>
      <c r="AC13" s="273"/>
      <c r="AD13" s="273"/>
      <c r="AE13" s="273"/>
    </row>
    <row r="14" spans="1:31" ht="18" customHeight="1" x14ac:dyDescent="0.25">
      <c r="A14" s="64"/>
      <c r="B14" s="402" t="s">
        <v>10</v>
      </c>
      <c r="C14" s="402"/>
      <c r="D14" s="402"/>
      <c r="E14" s="402"/>
      <c r="F14" s="402"/>
      <c r="G14" s="402"/>
      <c r="H14" s="402"/>
      <c r="I14" s="402"/>
      <c r="J14" s="402"/>
      <c r="K14" s="402"/>
      <c r="L14" s="402"/>
      <c r="M14" s="402"/>
      <c r="N14" s="402"/>
      <c r="O14" s="402"/>
      <c r="P14" s="402"/>
      <c r="Q14" s="425"/>
      <c r="R14" s="425"/>
      <c r="S14" s="425"/>
      <c r="T14" s="425"/>
      <c r="U14" s="425"/>
      <c r="V14" s="425"/>
      <c r="W14" s="425"/>
      <c r="X14" s="64"/>
      <c r="Y14" s="273"/>
      <c r="Z14" s="273"/>
      <c r="AA14" s="273"/>
      <c r="AB14" s="273"/>
      <c r="AC14" s="273"/>
      <c r="AD14" s="273"/>
      <c r="AE14" s="273"/>
    </row>
    <row r="15" spans="1:31" x14ac:dyDescent="0.25">
      <c r="A15" s="64"/>
      <c r="B15" s="259"/>
      <c r="C15" s="259"/>
      <c r="D15" s="259"/>
      <c r="E15" s="259"/>
      <c r="F15" s="259"/>
      <c r="G15" s="259"/>
      <c r="H15" s="259"/>
      <c r="I15" s="259"/>
      <c r="J15" s="259"/>
      <c r="K15" s="259"/>
      <c r="L15" s="259"/>
      <c r="M15" s="259"/>
      <c r="N15" s="259"/>
      <c r="O15" s="259"/>
      <c r="P15" s="64"/>
      <c r="Q15" s="64"/>
      <c r="R15" s="425"/>
      <c r="S15" s="425"/>
      <c r="T15" s="425"/>
      <c r="U15" s="425"/>
      <c r="V15" s="425"/>
      <c r="W15" s="425"/>
      <c r="X15" s="91"/>
      <c r="Y15" s="273"/>
      <c r="Z15" s="273"/>
      <c r="AA15" s="273"/>
      <c r="AB15" s="273"/>
      <c r="AC15" s="273"/>
      <c r="AD15" s="273"/>
      <c r="AE15" s="273"/>
    </row>
    <row r="16" spans="1:31" ht="19.5" customHeight="1" x14ac:dyDescent="0.25">
      <c r="A16" s="64"/>
      <c r="B16" s="498" t="s">
        <v>109</v>
      </c>
      <c r="C16" s="277" t="s">
        <v>281</v>
      </c>
      <c r="D16" s="279"/>
      <c r="E16" s="279"/>
      <c r="F16" s="279"/>
      <c r="G16" s="279"/>
      <c r="H16" s="259"/>
      <c r="I16" s="426"/>
      <c r="J16" s="427"/>
      <c r="K16" s="259"/>
      <c r="L16" s="259"/>
      <c r="M16" s="259"/>
      <c r="N16" s="259"/>
      <c r="O16" s="259"/>
      <c r="P16" s="64"/>
      <c r="Q16" s="64"/>
      <c r="R16" s="425"/>
      <c r="S16" s="425"/>
      <c r="T16" s="425"/>
      <c r="U16" s="425"/>
      <c r="V16" s="425"/>
      <c r="W16" s="425"/>
      <c r="X16" s="91"/>
      <c r="Y16" s="273"/>
      <c r="Z16" s="273"/>
      <c r="AA16" s="273"/>
      <c r="AB16" s="273"/>
      <c r="AC16" s="273"/>
      <c r="AD16" s="273"/>
      <c r="AE16" s="273"/>
    </row>
    <row r="17" spans="1:31" ht="19.5" customHeight="1" x14ac:dyDescent="0.25">
      <c r="A17" s="64"/>
      <c r="B17" s="363"/>
      <c r="C17" s="279" t="s">
        <v>268</v>
      </c>
      <c r="D17" s="279"/>
      <c r="E17" s="279"/>
      <c r="F17" s="279"/>
      <c r="G17" s="279"/>
      <c r="H17" s="259"/>
      <c r="I17" s="259"/>
      <c r="J17" s="259"/>
      <c r="K17" s="259"/>
      <c r="L17" s="259"/>
      <c r="M17" s="259"/>
      <c r="N17" s="259"/>
      <c r="O17" s="259"/>
      <c r="P17" s="64"/>
      <c r="Q17" s="64"/>
      <c r="R17" s="91"/>
      <c r="S17" s="91"/>
      <c r="T17" s="91"/>
      <c r="U17" s="91"/>
      <c r="V17" s="91"/>
      <c r="W17" s="91"/>
      <c r="X17" s="91"/>
      <c r="Y17" s="273"/>
      <c r="Z17" s="273"/>
      <c r="AA17" s="273"/>
      <c r="AB17" s="273"/>
      <c r="AC17" s="273"/>
      <c r="AD17" s="273"/>
      <c r="AE17" s="273"/>
    </row>
    <row r="18" spans="1:31" ht="19.5" customHeight="1" x14ac:dyDescent="0.25">
      <c r="A18" s="64"/>
      <c r="B18" s="363"/>
      <c r="C18" s="279"/>
      <c r="D18" s="279"/>
      <c r="E18" s="279"/>
      <c r="F18" s="279"/>
      <c r="G18" s="279"/>
      <c r="H18" s="259"/>
      <c r="I18" s="428" t="s">
        <v>255</v>
      </c>
      <c r="J18" s="428"/>
      <c r="K18" s="429" t="s">
        <v>253</v>
      </c>
      <c r="L18" s="429"/>
      <c r="M18" s="363" t="s">
        <v>231</v>
      </c>
      <c r="N18" s="363" t="s">
        <v>256</v>
      </c>
      <c r="O18" s="259"/>
      <c r="P18" s="64"/>
      <c r="Q18" s="64"/>
      <c r="R18" s="91"/>
      <c r="S18" s="91"/>
      <c r="T18" s="91"/>
      <c r="U18" s="91"/>
      <c r="V18" s="91"/>
      <c r="W18" s="91"/>
      <c r="X18" s="91"/>
      <c r="Y18" s="273"/>
      <c r="Z18" s="273"/>
      <c r="AA18" s="273"/>
      <c r="AB18" s="273"/>
      <c r="AC18" s="273"/>
      <c r="AD18" s="273"/>
      <c r="AE18" s="273"/>
    </row>
    <row r="19" spans="1:31" ht="19.5" customHeight="1" x14ac:dyDescent="0.25">
      <c r="A19" s="64"/>
      <c r="B19" s="363" t="s">
        <v>41</v>
      </c>
      <c r="C19" s="279" t="str">
        <f>"Type grise "&amp;"jf. "&amp;I16</f>
        <v xml:space="preserve">Type grise jf. </v>
      </c>
      <c r="D19" s="279"/>
      <c r="E19" s="279"/>
      <c r="F19" s="279"/>
      <c r="G19" s="279"/>
      <c r="H19" s="259"/>
      <c r="I19" s="426"/>
      <c r="J19" s="427"/>
      <c r="K19" s="430"/>
      <c r="L19" s="430"/>
      <c r="M19" s="241" t="b">
        <f>'Grise - regneark'!R11</f>
        <v>0</v>
      </c>
      <c r="N19" s="242">
        <f>'Grise - regneark'!T11</f>
        <v>0</v>
      </c>
      <c r="O19" s="259"/>
      <c r="P19" s="64"/>
      <c r="Q19" s="64"/>
      <c r="R19" s="91"/>
      <c r="S19" s="91"/>
      <c r="T19" s="91"/>
      <c r="U19" s="91"/>
      <c r="V19" s="91"/>
      <c r="W19" s="91"/>
      <c r="X19" s="91"/>
      <c r="Y19" s="273"/>
      <c r="Z19" s="273"/>
      <c r="AA19" s="273"/>
      <c r="AB19" s="273"/>
      <c r="AC19" s="273"/>
      <c r="AD19" s="273"/>
      <c r="AE19" s="273"/>
    </row>
    <row r="20" spans="1:31" ht="19.5" customHeight="1" x14ac:dyDescent="0.25">
      <c r="A20" s="64"/>
      <c r="B20" s="363" t="s">
        <v>40</v>
      </c>
      <c r="C20" s="279" t="s">
        <v>231</v>
      </c>
      <c r="D20" s="279"/>
      <c r="E20" s="279"/>
      <c r="F20" s="279"/>
      <c r="G20" s="279"/>
      <c r="H20" s="259"/>
      <c r="I20" s="426"/>
      <c r="J20" s="427"/>
      <c r="K20" s="430"/>
      <c r="L20" s="430"/>
      <c r="M20" s="241" t="b">
        <f>'Grise - regneark'!R12</f>
        <v>0</v>
      </c>
      <c r="N20" s="242">
        <f>'Grise - regneark'!T12</f>
        <v>0</v>
      </c>
      <c r="O20" s="259"/>
      <c r="P20" s="64"/>
      <c r="Q20" s="64"/>
      <c r="R20" s="91"/>
      <c r="S20" s="91"/>
      <c r="T20" s="91"/>
      <c r="U20" s="91"/>
      <c r="V20" s="91"/>
      <c r="W20" s="91"/>
      <c r="X20" s="91"/>
      <c r="Y20" s="273"/>
      <c r="Z20" s="273"/>
      <c r="AA20" s="273"/>
      <c r="AB20" s="273"/>
      <c r="AC20" s="273"/>
      <c r="AD20" s="273"/>
      <c r="AE20" s="273"/>
    </row>
    <row r="21" spans="1:31" ht="19.5" customHeight="1" x14ac:dyDescent="0.25">
      <c r="A21" s="64"/>
      <c r="B21" s="363" t="s">
        <v>180</v>
      </c>
      <c r="C21" s="279" t="s">
        <v>235</v>
      </c>
      <c r="D21" s="279"/>
      <c r="E21" s="279"/>
      <c r="F21" s="279"/>
      <c r="G21" s="279"/>
      <c r="H21" s="259"/>
      <c r="I21" s="426"/>
      <c r="J21" s="427"/>
      <c r="K21" s="430"/>
      <c r="L21" s="430"/>
      <c r="M21" s="241" t="b">
        <f>'Grise - regneark'!R13</f>
        <v>0</v>
      </c>
      <c r="N21" s="242">
        <f>'Grise - regneark'!T13</f>
        <v>0</v>
      </c>
      <c r="O21" s="259"/>
      <c r="P21" s="278"/>
      <c r="Q21" s="64"/>
      <c r="R21" s="91"/>
      <c r="S21" s="91"/>
      <c r="T21" s="91"/>
      <c r="U21" s="91"/>
      <c r="V21" s="91"/>
      <c r="W21" s="91"/>
      <c r="X21" s="91"/>
      <c r="Y21" s="273"/>
      <c r="Z21" s="273"/>
      <c r="AA21" s="273"/>
      <c r="AB21" s="273"/>
      <c r="AC21" s="273"/>
      <c r="AD21" s="273"/>
      <c r="AE21" s="273"/>
    </row>
    <row r="22" spans="1:31" ht="19.5" customHeight="1" x14ac:dyDescent="0.25">
      <c r="A22" s="64"/>
      <c r="B22" s="363"/>
      <c r="C22" s="279"/>
      <c r="D22" s="279"/>
      <c r="E22" s="279"/>
      <c r="F22" s="279"/>
      <c r="G22" s="279"/>
      <c r="H22" s="259"/>
      <c r="I22" s="259"/>
      <c r="J22" s="259"/>
      <c r="K22" s="259"/>
      <c r="L22" s="259"/>
      <c r="M22" s="259"/>
      <c r="N22" s="304">
        <f>SUM(N19:N21)</f>
        <v>0</v>
      </c>
      <c r="O22" s="259"/>
      <c r="P22" s="64"/>
      <c r="Q22" s="64"/>
      <c r="R22" s="91"/>
      <c r="S22" s="91"/>
      <c r="T22" s="91"/>
      <c r="U22" s="91"/>
      <c r="V22" s="91"/>
      <c r="W22" s="91"/>
      <c r="X22" s="91"/>
      <c r="Y22" s="273"/>
      <c r="Z22" s="273"/>
      <c r="AA22" s="273"/>
      <c r="AB22" s="273"/>
      <c r="AC22" s="273"/>
      <c r="AD22" s="273"/>
      <c r="AE22" s="273"/>
    </row>
    <row r="23" spans="1:31" ht="19.5" customHeight="1" x14ac:dyDescent="0.25">
      <c r="A23" s="64"/>
      <c r="B23" s="363"/>
      <c r="C23" s="279"/>
      <c r="D23" s="279"/>
      <c r="E23" s="279"/>
      <c r="F23" s="279"/>
      <c r="G23" s="279"/>
      <c r="H23" s="259"/>
      <c r="I23" s="259"/>
      <c r="J23" s="259"/>
      <c r="K23" s="259"/>
      <c r="L23" s="259"/>
      <c r="M23" s="259"/>
      <c r="N23" s="259"/>
      <c r="O23" s="259"/>
      <c r="P23" s="64"/>
      <c r="Q23" s="64"/>
      <c r="R23" s="91"/>
      <c r="S23" s="91"/>
      <c r="T23" s="91"/>
      <c r="U23" s="91"/>
      <c r="V23" s="91"/>
      <c r="W23" s="91"/>
      <c r="X23" s="64"/>
      <c r="Y23" s="273"/>
      <c r="Z23" s="273"/>
      <c r="AA23" s="273"/>
      <c r="AB23" s="273"/>
      <c r="AC23" s="273"/>
      <c r="AD23" s="273"/>
      <c r="AE23" s="273"/>
    </row>
    <row r="24" spans="1:31" ht="19.5" customHeight="1" x14ac:dyDescent="0.25">
      <c r="A24" s="64"/>
      <c r="B24" s="363" t="s">
        <v>279</v>
      </c>
      <c r="C24" s="279" t="s">
        <v>259</v>
      </c>
      <c r="D24" s="279"/>
      <c r="E24" s="279"/>
      <c r="F24" s="279"/>
      <c r="G24" s="279"/>
      <c r="H24" s="259"/>
      <c r="I24" s="426"/>
      <c r="J24" s="427"/>
      <c r="K24" s="259"/>
      <c r="L24" s="259"/>
      <c r="M24" s="259"/>
      <c r="N24" s="259"/>
      <c r="O24" s="259"/>
      <c r="P24" s="64"/>
      <c r="Q24" s="64"/>
      <c r="R24" s="91"/>
      <c r="S24" s="91"/>
      <c r="T24" s="91"/>
      <c r="U24" s="91"/>
      <c r="V24" s="91"/>
      <c r="W24" s="91"/>
      <c r="X24" s="64"/>
      <c r="Y24" s="273"/>
      <c r="Z24" s="273"/>
      <c r="AA24" s="273"/>
      <c r="AB24" s="273"/>
      <c r="AC24" s="273"/>
      <c r="AD24" s="273"/>
      <c r="AE24" s="273"/>
    </row>
    <row r="25" spans="1:31" ht="19.5" customHeight="1" x14ac:dyDescent="0.25">
      <c r="A25" s="64"/>
      <c r="B25" s="363" t="s">
        <v>280</v>
      </c>
      <c r="C25" s="279" t="s">
        <v>263</v>
      </c>
      <c r="D25" s="279"/>
      <c r="E25" s="279"/>
      <c r="F25" s="279"/>
      <c r="G25" s="279"/>
      <c r="H25" s="259"/>
      <c r="I25" s="426"/>
      <c r="J25" s="427"/>
      <c r="K25" s="259"/>
      <c r="L25" s="259"/>
      <c r="M25" s="259"/>
      <c r="N25" s="259"/>
      <c r="O25" s="259"/>
      <c r="P25" s="64"/>
      <c r="Q25" s="64"/>
      <c r="R25" s="64"/>
      <c r="S25" s="64"/>
      <c r="T25" s="64"/>
      <c r="U25" s="64"/>
      <c r="V25" s="64"/>
      <c r="W25" s="64"/>
      <c r="X25" s="64"/>
      <c r="Y25" s="273"/>
      <c r="Z25" s="273"/>
      <c r="AA25" s="273"/>
      <c r="AB25" s="273"/>
      <c r="AC25" s="273"/>
      <c r="AD25" s="273"/>
      <c r="AE25" s="273"/>
    </row>
    <row r="26" spans="1:31" ht="19.5" customHeight="1" x14ac:dyDescent="0.25">
      <c r="A26" s="64"/>
      <c r="B26" s="363"/>
      <c r="C26" s="279"/>
      <c r="D26" s="279"/>
      <c r="E26" s="279"/>
      <c r="F26" s="279"/>
      <c r="G26" s="279"/>
      <c r="H26" s="259"/>
      <c r="I26" s="259"/>
      <c r="J26" s="259"/>
      <c r="K26" s="259"/>
      <c r="L26" s="259"/>
      <c r="M26" s="259"/>
      <c r="N26" s="259"/>
      <c r="O26" s="259"/>
      <c r="P26" s="64"/>
      <c r="Q26" s="64"/>
      <c r="R26" s="64"/>
      <c r="S26" s="64"/>
      <c r="T26" s="64"/>
      <c r="U26" s="64"/>
      <c r="V26" s="64"/>
      <c r="W26" s="64"/>
      <c r="X26" s="64"/>
      <c r="Y26" s="273"/>
      <c r="Z26" s="273"/>
      <c r="AA26" s="273"/>
      <c r="AB26" s="273"/>
      <c r="AC26" s="273"/>
      <c r="AD26" s="273"/>
      <c r="AE26" s="273"/>
    </row>
    <row r="27" spans="1:31" ht="19.5" customHeight="1" x14ac:dyDescent="0.25">
      <c r="A27" s="64"/>
      <c r="B27" s="363"/>
      <c r="C27" s="279"/>
      <c r="D27" s="279"/>
      <c r="E27" s="279"/>
      <c r="F27" s="279"/>
      <c r="G27" s="279"/>
      <c r="H27" s="259"/>
      <c r="I27" s="428" t="s">
        <v>255</v>
      </c>
      <c r="J27" s="428"/>
      <c r="K27" s="429" t="s">
        <v>253</v>
      </c>
      <c r="L27" s="429"/>
      <c r="M27" s="363" t="s">
        <v>231</v>
      </c>
      <c r="N27" s="363" t="s">
        <v>256</v>
      </c>
      <c r="O27" s="259"/>
      <c r="P27" s="64"/>
      <c r="Q27" s="64"/>
      <c r="R27" s="64"/>
      <c r="S27" s="64"/>
      <c r="T27" s="64"/>
      <c r="U27" s="64"/>
      <c r="V27" s="64"/>
      <c r="W27" s="64"/>
      <c r="X27" s="64"/>
      <c r="Y27" s="273"/>
      <c r="Z27" s="273"/>
      <c r="AA27" s="273"/>
      <c r="AB27" s="273"/>
      <c r="AC27" s="273"/>
      <c r="AD27" s="273"/>
      <c r="AE27" s="273"/>
    </row>
    <row r="28" spans="1:31" ht="19.5" customHeight="1" x14ac:dyDescent="0.25">
      <c r="A28" s="64"/>
      <c r="B28" s="363"/>
      <c r="C28" s="279"/>
      <c r="D28" s="279"/>
      <c r="E28" s="279"/>
      <c r="F28" s="279"/>
      <c r="G28" s="279"/>
      <c r="H28" s="259"/>
      <c r="I28" s="431">
        <f>I19</f>
        <v>0</v>
      </c>
      <c r="J28" s="432"/>
      <c r="K28" s="431">
        <f>K19</f>
        <v>0</v>
      </c>
      <c r="L28" s="432"/>
      <c r="M28" s="241" t="b">
        <f>M19</f>
        <v>0</v>
      </c>
      <c r="N28" s="242">
        <f>'Grise - regneark'!U11</f>
        <v>0</v>
      </c>
      <c r="O28" s="259"/>
      <c r="P28" s="64"/>
      <c r="Q28" s="64"/>
      <c r="R28" s="64"/>
      <c r="S28" s="64"/>
      <c r="T28" s="64"/>
      <c r="U28" s="64"/>
      <c r="V28" s="64"/>
      <c r="W28" s="64"/>
      <c r="X28" s="64"/>
      <c r="Y28" s="273"/>
      <c r="Z28" s="273"/>
      <c r="AA28" s="273"/>
      <c r="AB28" s="273"/>
      <c r="AC28" s="273"/>
      <c r="AD28" s="273"/>
      <c r="AE28" s="273"/>
    </row>
    <row r="29" spans="1:31" ht="19.5" customHeight="1" x14ac:dyDescent="0.25">
      <c r="A29" s="64"/>
      <c r="B29" s="363"/>
      <c r="C29" s="279"/>
      <c r="D29" s="279"/>
      <c r="E29" s="279"/>
      <c r="F29" s="279"/>
      <c r="G29" s="279"/>
      <c r="H29" s="259"/>
      <c r="I29" s="431">
        <f>I20</f>
        <v>0</v>
      </c>
      <c r="J29" s="432"/>
      <c r="K29" s="431">
        <f t="shared" ref="K29:K30" si="0">K20</f>
        <v>0</v>
      </c>
      <c r="L29" s="432"/>
      <c r="M29" s="241" t="b">
        <f t="shared" ref="M29:M30" si="1">M20</f>
        <v>0</v>
      </c>
      <c r="N29" s="242">
        <f>'Grise - regneark'!U12</f>
        <v>0</v>
      </c>
      <c r="O29" s="259"/>
      <c r="P29" s="64"/>
      <c r="Q29" s="64"/>
      <c r="R29" s="64"/>
      <c r="S29" s="64"/>
      <c r="T29" s="64"/>
      <c r="U29" s="64"/>
      <c r="V29" s="64"/>
      <c r="W29" s="64"/>
      <c r="X29" s="64"/>
      <c r="Y29" s="273"/>
      <c r="Z29" s="273"/>
      <c r="AA29" s="273"/>
      <c r="AB29" s="273"/>
      <c r="AC29" s="273"/>
      <c r="AD29" s="273"/>
      <c r="AE29" s="273"/>
    </row>
    <row r="30" spans="1:31" ht="19.5" customHeight="1" x14ac:dyDescent="0.25">
      <c r="A30" s="64"/>
      <c r="B30" s="363"/>
      <c r="C30" s="279"/>
      <c r="D30" s="279"/>
      <c r="E30" s="279"/>
      <c r="F30" s="279"/>
      <c r="G30" s="279"/>
      <c r="H30" s="259"/>
      <c r="I30" s="431">
        <f>I21</f>
        <v>0</v>
      </c>
      <c r="J30" s="432"/>
      <c r="K30" s="431">
        <f t="shared" si="0"/>
        <v>0</v>
      </c>
      <c r="L30" s="432"/>
      <c r="M30" s="241" t="b">
        <f t="shared" si="1"/>
        <v>0</v>
      </c>
      <c r="N30" s="242">
        <f>'Grise - regneark'!U13</f>
        <v>0</v>
      </c>
      <c r="O30" s="259"/>
      <c r="P30" s="64"/>
      <c r="Q30" s="64"/>
      <c r="R30" s="64"/>
      <c r="S30" s="64"/>
      <c r="T30" s="64"/>
      <c r="U30" s="64"/>
      <c r="V30" s="64"/>
      <c r="W30" s="64"/>
      <c r="X30" s="64"/>
      <c r="Y30" s="273"/>
      <c r="Z30" s="273"/>
      <c r="AA30" s="273"/>
      <c r="AB30" s="273"/>
      <c r="AC30" s="273"/>
      <c r="AD30" s="273"/>
      <c r="AE30" s="273"/>
    </row>
    <row r="31" spans="1:31" ht="19.5" customHeight="1" x14ac:dyDescent="0.25">
      <c r="A31" s="64"/>
      <c r="B31" s="363"/>
      <c r="C31" s="279"/>
      <c r="D31" s="279"/>
      <c r="E31" s="279"/>
      <c r="F31" s="279"/>
      <c r="G31" s="279"/>
      <c r="H31" s="259"/>
      <c r="I31" s="259"/>
      <c r="J31" s="259"/>
      <c r="K31" s="259"/>
      <c r="L31" s="259"/>
      <c r="M31" s="259"/>
      <c r="N31" s="243">
        <f>SUM(N28:N30)</f>
        <v>0</v>
      </c>
      <c r="O31" s="259"/>
      <c r="P31" s="64"/>
      <c r="Q31" s="64"/>
      <c r="R31" s="64"/>
      <c r="S31" s="64"/>
      <c r="T31" s="64"/>
      <c r="U31" s="64"/>
      <c r="V31" s="64"/>
      <c r="W31" s="64"/>
      <c r="X31" s="64"/>
      <c r="Y31" s="273"/>
      <c r="Z31" s="273"/>
      <c r="AA31" s="273"/>
      <c r="AB31" s="273"/>
      <c r="AC31" s="273"/>
      <c r="AD31" s="273"/>
      <c r="AE31" s="273"/>
    </row>
    <row r="32" spans="1:31" ht="19.5" customHeight="1" x14ac:dyDescent="0.25">
      <c r="A32" s="64"/>
      <c r="B32" s="363"/>
      <c r="C32" s="279"/>
      <c r="D32" s="279"/>
      <c r="E32" s="279"/>
      <c r="F32" s="279"/>
      <c r="G32" s="279"/>
      <c r="H32" s="259"/>
      <c r="I32" s="259"/>
      <c r="J32" s="259"/>
      <c r="K32" s="259"/>
      <c r="L32" s="259"/>
      <c r="M32" s="259"/>
      <c r="N32" s="259"/>
      <c r="O32" s="259"/>
      <c r="P32" s="64"/>
      <c r="Q32" s="64"/>
      <c r="R32" s="64"/>
      <c r="S32" s="64"/>
      <c r="T32" s="64"/>
      <c r="U32" s="64"/>
      <c r="V32" s="64"/>
      <c r="W32" s="64"/>
      <c r="X32" s="64"/>
      <c r="Y32" s="273"/>
      <c r="Z32" s="273"/>
      <c r="AA32" s="273"/>
      <c r="AB32" s="273"/>
      <c r="AC32" s="273"/>
      <c r="AD32" s="273"/>
      <c r="AE32" s="273"/>
    </row>
    <row r="33" spans="1:31" ht="19.5" customHeight="1" x14ac:dyDescent="0.25">
      <c r="A33" s="64"/>
      <c r="B33" s="498" t="s">
        <v>110</v>
      </c>
      <c r="C33" s="277" t="s">
        <v>237</v>
      </c>
      <c r="D33" s="279"/>
      <c r="E33" s="279"/>
      <c r="F33" s="279"/>
      <c r="G33" s="279"/>
      <c r="H33" s="259"/>
      <c r="I33" s="279"/>
      <c r="J33" s="279"/>
      <c r="K33" s="259"/>
      <c r="L33" s="259"/>
      <c r="M33" s="259"/>
      <c r="N33" s="259"/>
      <c r="O33" s="259"/>
      <c r="P33" s="64"/>
      <c r="Q33" s="64"/>
      <c r="R33" s="64"/>
      <c r="S33" s="64"/>
      <c r="T33" s="64"/>
      <c r="U33" s="64"/>
      <c r="V33" s="64"/>
      <c r="W33" s="64"/>
      <c r="X33" s="64"/>
      <c r="Y33" s="273"/>
      <c r="Z33" s="273"/>
      <c r="AA33" s="273"/>
      <c r="AB33" s="273"/>
      <c r="AC33" s="273"/>
      <c r="AD33" s="273"/>
      <c r="AE33" s="273"/>
    </row>
    <row r="34" spans="1:31" ht="19.5" customHeight="1" x14ac:dyDescent="0.25">
      <c r="A34" s="64"/>
      <c r="B34" s="363" t="s">
        <v>179</v>
      </c>
      <c r="C34" s="279" t="s">
        <v>238</v>
      </c>
      <c r="D34" s="279"/>
      <c r="E34" s="279"/>
      <c r="F34" s="279"/>
      <c r="G34" s="279"/>
      <c r="H34" s="259"/>
      <c r="I34" s="426"/>
      <c r="J34" s="427"/>
      <c r="K34" s="259"/>
      <c r="L34" s="259"/>
      <c r="M34" s="259"/>
      <c r="N34" s="259"/>
      <c r="O34" s="259"/>
      <c r="P34" s="64"/>
      <c r="Q34" s="64"/>
      <c r="R34" s="280"/>
      <c r="S34" s="64"/>
      <c r="T34" s="64"/>
      <c r="U34" s="64"/>
      <c r="V34" s="64"/>
      <c r="W34" s="64"/>
      <c r="X34" s="64"/>
      <c r="Y34" s="273"/>
      <c r="Z34" s="273"/>
      <c r="AA34" s="273"/>
      <c r="AB34" s="273"/>
      <c r="AC34" s="273"/>
      <c r="AD34" s="273"/>
      <c r="AE34" s="273"/>
    </row>
    <row r="35" spans="1:31" ht="19.5" customHeight="1" x14ac:dyDescent="0.25">
      <c r="A35" s="64"/>
      <c r="B35" s="363" t="s">
        <v>182</v>
      </c>
      <c r="C35" s="279" t="s">
        <v>239</v>
      </c>
      <c r="D35" s="279"/>
      <c r="E35" s="279"/>
      <c r="F35" s="279"/>
      <c r="G35" s="279"/>
      <c r="H35" s="259"/>
      <c r="I35" s="433"/>
      <c r="J35" s="434"/>
      <c r="K35" s="259"/>
      <c r="L35" s="259"/>
      <c r="M35" s="259"/>
      <c r="N35" s="259"/>
      <c r="O35" s="259"/>
      <c r="P35" s="64"/>
      <c r="Q35" s="64"/>
      <c r="R35" s="64"/>
      <c r="S35" s="64"/>
      <c r="T35" s="64"/>
      <c r="U35" s="64"/>
      <c r="V35" s="64"/>
      <c r="W35" s="64"/>
      <c r="X35" s="64"/>
      <c r="Y35" s="273"/>
      <c r="Z35" s="273"/>
      <c r="AA35" s="273"/>
      <c r="AB35" s="273"/>
      <c r="AC35" s="273"/>
      <c r="AD35" s="273"/>
      <c r="AE35" s="273"/>
    </row>
    <row r="36" spans="1:31" ht="19.5" customHeight="1" x14ac:dyDescent="0.25">
      <c r="A36" s="64"/>
      <c r="B36" s="363"/>
      <c r="C36" s="279"/>
      <c r="D36" s="279"/>
      <c r="E36" s="279"/>
      <c r="F36" s="279"/>
      <c r="G36" s="279"/>
      <c r="H36" s="259"/>
      <c r="I36" s="279"/>
      <c r="J36" s="279"/>
      <c r="K36" s="259"/>
      <c r="L36" s="259"/>
      <c r="M36" s="259"/>
      <c r="N36" s="259"/>
      <c r="O36" s="259"/>
      <c r="P36" s="64"/>
      <c r="Q36" s="64"/>
      <c r="R36" s="64"/>
      <c r="S36" s="64"/>
      <c r="T36" s="64"/>
      <c r="U36" s="64"/>
      <c r="V36" s="64"/>
      <c r="W36" s="64"/>
      <c r="X36" s="64"/>
      <c r="Y36" s="273"/>
      <c r="Z36" s="273"/>
      <c r="AA36" s="273"/>
      <c r="AB36" s="273"/>
      <c r="AC36" s="273"/>
      <c r="AD36" s="273"/>
      <c r="AE36" s="273"/>
    </row>
    <row r="37" spans="1:31" x14ac:dyDescent="0.25">
      <c r="A37" s="64"/>
      <c r="B37" s="498" t="s">
        <v>157</v>
      </c>
      <c r="C37" s="277" t="s">
        <v>245</v>
      </c>
      <c r="D37" s="279"/>
      <c r="E37" s="279"/>
      <c r="F37" s="279"/>
      <c r="G37" s="279"/>
      <c r="H37" s="259"/>
      <c r="I37" s="281"/>
      <c r="J37" s="281"/>
      <c r="K37" s="259"/>
      <c r="L37" s="259"/>
      <c r="M37" s="259"/>
      <c r="N37" s="259"/>
      <c r="O37" s="259"/>
      <c r="P37" s="64"/>
      <c r="Q37" s="64"/>
      <c r="R37" s="64"/>
      <c r="S37" s="64"/>
      <c r="T37" s="64"/>
      <c r="U37" s="64"/>
      <c r="V37" s="64"/>
      <c r="W37" s="64"/>
      <c r="X37" s="64"/>
      <c r="Y37" s="273"/>
      <c r="Z37" s="273"/>
      <c r="AA37" s="273"/>
      <c r="AB37" s="273"/>
      <c r="AC37" s="273"/>
      <c r="AD37" s="273"/>
      <c r="AE37" s="273"/>
    </row>
    <row r="38" spans="1:31" x14ac:dyDescent="0.25">
      <c r="A38" s="64"/>
      <c r="B38" s="363" t="s">
        <v>42</v>
      </c>
      <c r="C38" s="279" t="s">
        <v>247</v>
      </c>
      <c r="D38" s="279"/>
      <c r="E38" s="279"/>
      <c r="F38" s="279"/>
      <c r="G38" s="279"/>
      <c r="H38" s="259"/>
      <c r="I38" s="426"/>
      <c r="J38" s="427"/>
      <c r="K38" s="259"/>
      <c r="L38" s="259"/>
      <c r="M38" s="259"/>
      <c r="N38" s="259"/>
      <c r="O38" s="259"/>
      <c r="P38" s="64"/>
      <c r="Q38" s="64"/>
      <c r="R38" s="64"/>
      <c r="S38" s="64"/>
      <c r="T38" s="64"/>
      <c r="U38" s="64"/>
      <c r="V38" s="64"/>
      <c r="W38" s="64"/>
      <c r="X38" s="64"/>
      <c r="Y38" s="273"/>
      <c r="Z38" s="273"/>
      <c r="AA38" s="273"/>
      <c r="AB38" s="273"/>
      <c r="AC38" s="273"/>
      <c r="AD38" s="273"/>
      <c r="AE38" s="273"/>
    </row>
    <row r="39" spans="1:31" x14ac:dyDescent="0.25">
      <c r="A39" s="64"/>
      <c r="B39" s="363" t="s">
        <v>246</v>
      </c>
      <c r="C39" s="279" t="s">
        <v>248</v>
      </c>
      <c r="D39" s="279"/>
      <c r="E39" s="279"/>
      <c r="F39" s="279"/>
      <c r="G39" s="279"/>
      <c r="H39" s="259"/>
      <c r="I39" s="426"/>
      <c r="J39" s="427"/>
      <c r="K39" s="259"/>
      <c r="L39" s="259" t="s">
        <v>215</v>
      </c>
      <c r="M39" s="259"/>
      <c r="N39" s="259"/>
      <c r="O39" s="259"/>
      <c r="P39" s="64"/>
      <c r="Q39" s="64"/>
      <c r="R39" s="64"/>
      <c r="S39" s="64"/>
      <c r="T39" s="64"/>
      <c r="U39" s="64"/>
      <c r="V39" s="64"/>
      <c r="W39" s="64"/>
      <c r="X39" s="64"/>
      <c r="Y39" s="273"/>
      <c r="Z39" s="273"/>
      <c r="AA39" s="273"/>
      <c r="AB39" s="273"/>
      <c r="AC39" s="273"/>
      <c r="AD39" s="273"/>
      <c r="AE39" s="273"/>
    </row>
    <row r="40" spans="1:31" x14ac:dyDescent="0.25">
      <c r="A40" s="64"/>
      <c r="B40" s="363"/>
      <c r="C40" s="279"/>
      <c r="D40" s="279"/>
      <c r="E40" s="279"/>
      <c r="F40" s="279"/>
      <c r="G40" s="279"/>
      <c r="H40" s="259"/>
      <c r="I40" s="259"/>
      <c r="J40" s="259"/>
      <c r="K40" s="259"/>
      <c r="L40" s="259"/>
      <c r="M40" s="259"/>
      <c r="N40" s="259"/>
      <c r="O40" s="259"/>
      <c r="P40" s="64"/>
      <c r="Q40" s="64"/>
      <c r="R40" s="64"/>
      <c r="S40" s="64"/>
      <c r="T40" s="64"/>
      <c r="U40" s="64"/>
      <c r="V40" s="64"/>
      <c r="W40" s="64"/>
      <c r="X40" s="64"/>
      <c r="Y40" s="273"/>
      <c r="Z40" s="273"/>
      <c r="AA40" s="273"/>
      <c r="AB40" s="273"/>
      <c r="AC40" s="273"/>
      <c r="AD40" s="273"/>
      <c r="AE40" s="273"/>
    </row>
    <row r="41" spans="1:31" x14ac:dyDescent="0.25">
      <c r="A41" s="64"/>
      <c r="B41" s="64"/>
      <c r="C41" s="64"/>
      <c r="D41" s="64"/>
      <c r="E41" s="64"/>
      <c r="F41" s="64"/>
      <c r="G41" s="64"/>
      <c r="H41" s="64"/>
      <c r="I41" s="64"/>
      <c r="J41" s="64"/>
      <c r="K41" s="64"/>
      <c r="L41" s="64"/>
      <c r="M41" s="64"/>
      <c r="N41" s="64"/>
      <c r="O41" s="64"/>
      <c r="P41" s="64"/>
      <c r="Q41" s="64"/>
      <c r="R41" s="64"/>
      <c r="S41" s="64"/>
      <c r="T41" s="64"/>
      <c r="U41" s="64"/>
      <c r="V41" s="64"/>
      <c r="W41" s="64"/>
      <c r="X41" s="64"/>
      <c r="Y41" s="273"/>
      <c r="Z41" s="273"/>
      <c r="AA41" s="273"/>
      <c r="AB41" s="273"/>
      <c r="AC41" s="273"/>
      <c r="AD41" s="273"/>
      <c r="AE41" s="273"/>
    </row>
    <row r="42" spans="1:31" x14ac:dyDescent="0.25">
      <c r="A42" s="64"/>
      <c r="B42" s="64"/>
      <c r="C42" s="64"/>
      <c r="D42" s="64"/>
      <c r="E42" s="64"/>
      <c r="F42" s="64"/>
      <c r="G42" s="64"/>
      <c r="H42" s="64"/>
      <c r="I42" s="64"/>
      <c r="J42" s="64"/>
      <c r="K42" s="64"/>
      <c r="L42" s="64"/>
      <c r="M42" s="64"/>
      <c r="N42" s="64"/>
      <c r="O42" s="64"/>
      <c r="P42" s="64"/>
      <c r="Q42" s="64"/>
      <c r="R42" s="64"/>
      <c r="S42" s="64"/>
      <c r="T42" s="64"/>
      <c r="U42" s="64"/>
      <c r="V42" s="64"/>
      <c r="W42" s="64"/>
      <c r="X42" s="64"/>
      <c r="Y42" s="273"/>
      <c r="Z42" s="273"/>
      <c r="AA42" s="273"/>
      <c r="AB42" s="273"/>
      <c r="AC42" s="273"/>
      <c r="AD42" s="273"/>
      <c r="AE42" s="273"/>
    </row>
    <row r="43" spans="1:31" x14ac:dyDescent="0.25">
      <c r="A43" s="64"/>
      <c r="B43" s="64"/>
      <c r="C43" s="64"/>
      <c r="D43" s="64"/>
      <c r="E43" s="64"/>
      <c r="F43" s="64"/>
      <c r="G43" s="64"/>
      <c r="H43" s="64"/>
      <c r="I43" s="64"/>
      <c r="J43" s="64"/>
      <c r="K43" s="64"/>
      <c r="L43" s="64"/>
      <c r="M43" s="64"/>
      <c r="N43" s="64"/>
      <c r="O43" s="64"/>
      <c r="P43" s="64"/>
      <c r="Q43" s="64"/>
      <c r="R43" s="64"/>
      <c r="S43" s="64"/>
      <c r="T43" s="64"/>
      <c r="U43" s="64"/>
      <c r="V43" s="64"/>
      <c r="W43" s="64"/>
      <c r="X43" s="64"/>
      <c r="Y43" s="273"/>
      <c r="Z43" s="273"/>
      <c r="AA43" s="273"/>
      <c r="AB43" s="273"/>
      <c r="AC43" s="273"/>
      <c r="AD43" s="273"/>
      <c r="AE43" s="273"/>
    </row>
    <row r="44" spans="1:31" ht="18" x14ac:dyDescent="0.25">
      <c r="A44" s="64"/>
      <c r="B44" s="274" t="s">
        <v>13</v>
      </c>
      <c r="C44" s="64"/>
      <c r="D44" s="64"/>
      <c r="E44" s="64"/>
      <c r="F44" s="64"/>
      <c r="G44" s="64"/>
      <c r="H44" s="64"/>
      <c r="I44" s="64"/>
      <c r="J44" s="64"/>
      <c r="K44" s="64"/>
      <c r="L44" s="64"/>
      <c r="M44" s="64"/>
      <c r="N44" s="64"/>
      <c r="O44" s="64"/>
      <c r="P44" s="64"/>
      <c r="Q44" s="64"/>
      <c r="R44" s="64"/>
      <c r="S44" s="64"/>
      <c r="T44" s="64"/>
      <c r="U44" s="64"/>
      <c r="V44" s="64"/>
      <c r="W44" s="64"/>
      <c r="X44" s="64"/>
      <c r="Y44" s="273"/>
      <c r="Z44" s="273"/>
      <c r="AA44" s="273"/>
      <c r="AB44" s="273"/>
      <c r="AC44" s="273"/>
      <c r="AD44" s="273"/>
      <c r="AE44" s="273"/>
    </row>
    <row r="45" spans="1:31" x14ac:dyDescent="0.25">
      <c r="A45" s="64"/>
      <c r="B45" s="259" t="s">
        <v>46</v>
      </c>
      <c r="C45" s="259"/>
      <c r="D45" s="259"/>
      <c r="E45" s="259"/>
      <c r="F45" s="259"/>
      <c r="G45" s="259"/>
      <c r="H45" s="288" t="str">
        <f>IF(I19="","-",VLOOKUP(I34,'Kyllinge - regneark'!P41:Q48,2,FALSE))</f>
        <v>-</v>
      </c>
      <c r="I45" s="259"/>
      <c r="J45" s="270"/>
      <c r="K45" s="259"/>
      <c r="L45" s="259"/>
      <c r="M45" s="288" t="s">
        <v>97</v>
      </c>
      <c r="N45" s="259"/>
      <c r="O45" s="259"/>
      <c r="P45" s="64"/>
      <c r="Q45" s="64"/>
      <c r="R45" s="64"/>
      <c r="S45" s="64"/>
      <c r="T45" s="64"/>
      <c r="U45" s="64"/>
      <c r="V45" s="64"/>
      <c r="W45" s="64"/>
      <c r="X45" s="64"/>
      <c r="Y45" s="273"/>
      <c r="Z45" s="273"/>
      <c r="AA45" s="273"/>
      <c r="AB45" s="273"/>
      <c r="AC45" s="273"/>
      <c r="AD45" s="273"/>
      <c r="AE45" s="273"/>
    </row>
    <row r="46" spans="1:31" x14ac:dyDescent="0.25">
      <c r="A46" s="64"/>
      <c r="B46" s="259" t="s">
        <v>45</v>
      </c>
      <c r="C46" s="259"/>
      <c r="D46" s="259"/>
      <c r="E46" s="259"/>
      <c r="F46" s="259"/>
      <c r="G46" s="259"/>
      <c r="H46" s="271" t="str">
        <f>IF(I19="","-",IF(I24="Ja",'Grise - regneark'!M17,'Grise - regneark'!O17))</f>
        <v>-</v>
      </c>
      <c r="I46" s="259" t="s">
        <v>14</v>
      </c>
      <c r="J46" s="270"/>
      <c r="K46" s="259"/>
      <c r="L46" s="259"/>
      <c r="M46" s="289" t="str">
        <f>IF(I19="","-",IF(I24="Nej","",IF(I25="Ja",N31/1000,0)))</f>
        <v>-</v>
      </c>
      <c r="N46" s="302" t="s">
        <v>14</v>
      </c>
      <c r="O46" s="259"/>
      <c r="P46" s="64"/>
      <c r="Q46" s="64"/>
      <c r="R46" s="64"/>
      <c r="S46" s="64"/>
      <c r="T46" s="64"/>
      <c r="U46" s="64"/>
      <c r="V46" s="64"/>
      <c r="W46" s="64"/>
      <c r="X46" s="64"/>
      <c r="Y46" s="273"/>
      <c r="Z46" s="273"/>
      <c r="AA46" s="273"/>
      <c r="AB46" s="273"/>
      <c r="AC46" s="273"/>
      <c r="AD46" s="273"/>
      <c r="AE46" s="273"/>
    </row>
    <row r="47" spans="1:31" x14ac:dyDescent="0.25">
      <c r="A47" s="64"/>
      <c r="B47" s="259"/>
      <c r="C47" s="259"/>
      <c r="D47" s="259"/>
      <c r="E47" s="259"/>
      <c r="F47" s="259"/>
      <c r="G47" s="259"/>
      <c r="H47" s="271"/>
      <c r="I47" s="259"/>
      <c r="J47" s="270"/>
      <c r="K47" s="259"/>
      <c r="L47" s="259"/>
      <c r="M47" s="288"/>
      <c r="N47" s="259"/>
      <c r="O47" s="259"/>
      <c r="P47" s="64"/>
      <c r="Q47" s="64"/>
      <c r="R47" s="64"/>
      <c r="S47" s="64"/>
      <c r="T47" s="64"/>
      <c r="U47" s="64"/>
      <c r="V47" s="64"/>
      <c r="W47" s="64"/>
      <c r="X47" s="64"/>
      <c r="Y47" s="273"/>
      <c r="Z47" s="273"/>
      <c r="AA47" s="273"/>
      <c r="AB47" s="273"/>
      <c r="AC47" s="273"/>
      <c r="AD47" s="273"/>
      <c r="AE47" s="273"/>
    </row>
    <row r="48" spans="1:31" x14ac:dyDescent="0.25">
      <c r="A48" s="64"/>
      <c r="B48" s="259" t="s">
        <v>44</v>
      </c>
      <c r="C48" s="259"/>
      <c r="D48" s="259"/>
      <c r="E48" s="259"/>
      <c r="F48" s="259"/>
      <c r="G48" s="259"/>
      <c r="H48" s="271" t="str">
        <f>IF(I19="","-",VLOOKUP(I38,'Kyllinge - regneark'!L55:N60,3,FALSE))</f>
        <v>-</v>
      </c>
      <c r="I48" s="259"/>
      <c r="J48" s="270"/>
      <c r="K48" s="259"/>
      <c r="L48" s="259"/>
      <c r="M48" s="288" t="str">
        <f>IF(I19="","-",VLOOKUP(I38,'Kyllinge - regneark'!L55:N60,3,FALSE))</f>
        <v>-</v>
      </c>
      <c r="N48" s="259"/>
      <c r="O48" s="259"/>
      <c r="P48" s="64"/>
      <c r="Q48" s="64"/>
      <c r="R48" s="64"/>
      <c r="S48" s="64"/>
      <c r="T48" s="64"/>
      <c r="U48" s="64"/>
      <c r="V48" s="64"/>
      <c r="W48" s="64"/>
      <c r="X48" s="64"/>
      <c r="Y48" s="273"/>
      <c r="Z48" s="273"/>
      <c r="AA48" s="273"/>
      <c r="AB48" s="273"/>
      <c r="AC48" s="273"/>
      <c r="AD48" s="273"/>
      <c r="AE48" s="273"/>
    </row>
    <row r="49" spans="1:31" x14ac:dyDescent="0.25">
      <c r="A49" s="64"/>
      <c r="B49" s="259" t="s">
        <v>43</v>
      </c>
      <c r="C49" s="259"/>
      <c r="D49" s="259"/>
      <c r="E49" s="259"/>
      <c r="F49" s="259"/>
      <c r="G49" s="259"/>
      <c r="H49" s="271" t="str">
        <f>IF(I19="","-",IF(I24="Nej",'Grise - regneark'!O18,'Grise - regneark'!M18))</f>
        <v>-</v>
      </c>
      <c r="I49" s="259" t="s">
        <v>14</v>
      </c>
      <c r="J49" s="270"/>
      <c r="K49" s="259"/>
      <c r="L49" s="259"/>
      <c r="M49" s="289" t="str">
        <f>IF(I19="","-",IF(I24="Nej","",IF(I25="Ja",'Grise - regneark'!N18,0)))</f>
        <v>-</v>
      </c>
      <c r="N49" s="302" t="s">
        <v>14</v>
      </c>
      <c r="O49" s="259"/>
      <c r="P49" s="64"/>
      <c r="Q49" s="64"/>
      <c r="R49" s="64"/>
      <c r="S49" s="64"/>
      <c r="T49" s="64"/>
      <c r="U49" s="64"/>
      <c r="V49" s="64"/>
      <c r="W49" s="64"/>
      <c r="X49" s="64"/>
      <c r="Y49" s="273"/>
      <c r="Z49" s="273"/>
      <c r="AA49" s="273"/>
      <c r="AB49" s="273"/>
      <c r="AC49" s="273"/>
      <c r="AD49" s="273"/>
      <c r="AE49" s="273"/>
    </row>
    <row r="50" spans="1:31" x14ac:dyDescent="0.25">
      <c r="A50" s="64"/>
      <c r="B50" s="259"/>
      <c r="C50" s="259"/>
      <c r="D50" s="259"/>
      <c r="E50" s="259"/>
      <c r="F50" s="259"/>
      <c r="G50" s="259"/>
      <c r="H50" s="282"/>
      <c r="I50" s="259"/>
      <c r="J50" s="270"/>
      <c r="K50" s="259"/>
      <c r="L50" s="259"/>
      <c r="M50" s="288"/>
      <c r="N50" s="259"/>
      <c r="O50" s="259"/>
      <c r="P50" s="64"/>
      <c r="Q50" s="64"/>
      <c r="R50" s="64"/>
      <c r="S50" s="64"/>
      <c r="T50" s="64"/>
      <c r="U50" s="64"/>
      <c r="V50" s="64"/>
      <c r="W50" s="64"/>
      <c r="X50" s="64"/>
      <c r="Y50" s="273"/>
      <c r="Z50" s="273"/>
      <c r="AA50" s="273"/>
      <c r="AB50" s="273"/>
      <c r="AC50" s="273"/>
      <c r="AD50" s="273"/>
      <c r="AE50" s="273"/>
    </row>
    <row r="51" spans="1:31" ht="15.75" thickBot="1" x14ac:dyDescent="0.3">
      <c r="A51" s="64"/>
      <c r="B51" s="259"/>
      <c r="C51" s="259"/>
      <c r="D51" s="259"/>
      <c r="E51" s="259"/>
      <c r="F51" s="259"/>
      <c r="G51" s="259"/>
      <c r="H51" s="191"/>
      <c r="I51" s="259"/>
      <c r="J51" s="270"/>
      <c r="K51" s="259"/>
      <c r="L51" s="259"/>
      <c r="M51" s="288"/>
      <c r="N51" s="259"/>
      <c r="O51" s="259"/>
      <c r="P51" s="64"/>
      <c r="Q51" s="64"/>
      <c r="R51" s="64"/>
      <c r="S51" s="64"/>
      <c r="T51" s="64"/>
      <c r="U51" s="64"/>
      <c r="V51" s="64"/>
      <c r="W51" s="64"/>
      <c r="X51" s="64"/>
      <c r="Y51" s="273"/>
      <c r="Z51" s="273"/>
      <c r="AA51" s="273"/>
      <c r="AB51" s="273"/>
      <c r="AC51" s="273"/>
      <c r="AD51" s="273"/>
      <c r="AE51" s="273"/>
    </row>
    <row r="52" spans="1:31" ht="15.75" thickBot="1" x14ac:dyDescent="0.3">
      <c r="A52" s="64"/>
      <c r="B52" s="283" t="s">
        <v>250</v>
      </c>
      <c r="C52" s="284"/>
      <c r="D52" s="284"/>
      <c r="E52" s="284"/>
      <c r="F52" s="284"/>
      <c r="G52" s="284"/>
      <c r="H52" s="285" t="str">
        <f>IF(H49="-","-",H46-H49)</f>
        <v>-</v>
      </c>
      <c r="I52" s="284" t="s">
        <v>14</v>
      </c>
      <c r="J52" s="496"/>
      <c r="K52" s="303"/>
      <c r="L52" s="303"/>
      <c r="M52" s="285" t="str">
        <f>IF(M49="-","-",M46-M49)</f>
        <v>-</v>
      </c>
      <c r="N52" s="499" t="s">
        <v>14</v>
      </c>
      <c r="O52" s="259"/>
      <c r="P52" s="64"/>
      <c r="Q52" s="64"/>
      <c r="R52" s="64"/>
      <c r="S52" s="64"/>
      <c r="T52" s="64"/>
      <c r="U52" s="64"/>
      <c r="V52" s="64"/>
      <c r="W52" s="64"/>
      <c r="X52" s="64"/>
      <c r="Y52" s="273"/>
      <c r="Z52" s="273"/>
      <c r="AA52" s="273"/>
      <c r="AB52" s="273"/>
      <c r="AC52" s="273"/>
      <c r="AD52" s="273"/>
      <c r="AE52" s="273"/>
    </row>
    <row r="53" spans="1:31" ht="48" customHeight="1" x14ac:dyDescent="0.25">
      <c r="A53" s="64"/>
      <c r="B53" s="91"/>
      <c r="C53" s="91"/>
      <c r="D53" s="91"/>
      <c r="E53" s="91"/>
      <c r="F53" s="91"/>
      <c r="G53" s="91"/>
      <c r="H53" s="91"/>
      <c r="I53" s="91"/>
      <c r="J53" s="91"/>
      <c r="K53" s="64"/>
      <c r="L53" s="64"/>
      <c r="M53" s="64"/>
      <c r="N53" s="64"/>
      <c r="O53" s="64"/>
      <c r="P53" s="64"/>
      <c r="Q53" s="64"/>
      <c r="R53" s="64"/>
      <c r="S53" s="64"/>
      <c r="T53" s="64"/>
      <c r="U53" s="64"/>
      <c r="V53" s="64"/>
      <c r="W53" s="64"/>
      <c r="X53" s="64"/>
      <c r="Y53" s="273"/>
      <c r="Z53" s="273"/>
      <c r="AA53" s="273"/>
      <c r="AB53" s="273"/>
      <c r="AC53" s="273"/>
      <c r="AD53" s="273"/>
      <c r="AE53" s="273"/>
    </row>
    <row r="54" spans="1:31" x14ac:dyDescent="0.25">
      <c r="A54" s="273"/>
      <c r="B54" s="273"/>
      <c r="C54" s="273"/>
      <c r="D54" s="273"/>
      <c r="E54" s="273"/>
      <c r="F54" s="273"/>
      <c r="G54" s="273"/>
      <c r="H54" s="273"/>
      <c r="I54" s="273"/>
      <c r="J54" s="273"/>
      <c r="K54" s="273"/>
      <c r="L54" s="273"/>
      <c r="M54" s="273"/>
      <c r="N54" s="273"/>
      <c r="O54" s="273"/>
      <c r="P54" s="273"/>
      <c r="Q54" s="273"/>
      <c r="R54" s="273"/>
      <c r="S54" s="273"/>
      <c r="T54" s="273"/>
      <c r="U54" s="273"/>
      <c r="V54" s="273"/>
      <c r="W54" s="273"/>
      <c r="X54" s="273"/>
      <c r="Y54" s="273"/>
      <c r="Z54" s="273"/>
      <c r="AA54" s="273"/>
      <c r="AB54" s="273"/>
      <c r="AC54" s="273"/>
      <c r="AD54" s="273"/>
      <c r="AE54" s="273"/>
    </row>
    <row r="55" spans="1:31" x14ac:dyDescent="0.25">
      <c r="A55" s="273"/>
      <c r="B55" s="273"/>
      <c r="C55" s="273"/>
      <c r="D55" s="273"/>
      <c r="E55" s="273"/>
      <c r="F55" s="273"/>
      <c r="G55" s="273"/>
      <c r="H55" s="273"/>
      <c r="I55" s="273"/>
      <c r="J55" s="273"/>
      <c r="K55" s="273"/>
      <c r="L55" s="273"/>
      <c r="M55" s="273"/>
      <c r="N55" s="273"/>
      <c r="O55" s="273"/>
      <c r="P55" s="273"/>
      <c r="Q55" s="273"/>
      <c r="R55" s="273"/>
      <c r="S55" s="273"/>
      <c r="T55" s="273"/>
      <c r="U55" s="273"/>
      <c r="V55" s="273"/>
      <c r="W55" s="273"/>
      <c r="X55" s="273"/>
      <c r="Y55" s="273"/>
      <c r="Z55" s="273"/>
      <c r="AA55" s="273"/>
      <c r="AB55" s="273"/>
      <c r="AC55" s="273"/>
      <c r="AD55" s="273"/>
      <c r="AE55" s="273"/>
    </row>
    <row r="56" spans="1:31" x14ac:dyDescent="0.25">
      <c r="A56" s="273"/>
      <c r="B56" s="273"/>
      <c r="C56" s="273"/>
      <c r="D56" s="273"/>
      <c r="E56" s="273"/>
      <c r="F56" s="273"/>
      <c r="G56" s="273"/>
      <c r="H56" s="273"/>
      <c r="I56" s="273"/>
      <c r="J56" s="273"/>
      <c r="K56" s="273"/>
      <c r="L56" s="273"/>
      <c r="M56" s="273"/>
      <c r="N56" s="273"/>
      <c r="O56" s="273"/>
      <c r="P56" s="273"/>
      <c r="Q56" s="273"/>
      <c r="R56" s="273"/>
      <c r="S56" s="273"/>
      <c r="T56" s="273"/>
      <c r="U56" s="273"/>
      <c r="V56" s="273"/>
      <c r="W56" s="273"/>
      <c r="X56" s="273"/>
      <c r="Y56" s="273"/>
      <c r="Z56" s="273"/>
      <c r="AA56" s="273"/>
      <c r="AB56" s="273"/>
      <c r="AC56" s="273"/>
      <c r="AD56" s="273"/>
      <c r="AE56" s="273"/>
    </row>
    <row r="57" spans="1:31" x14ac:dyDescent="0.25">
      <c r="A57" s="273"/>
      <c r="B57" s="273"/>
      <c r="C57" s="273"/>
      <c r="D57" s="273"/>
      <c r="E57" s="273"/>
      <c r="F57" s="273"/>
      <c r="G57" s="273"/>
      <c r="H57" s="273"/>
      <c r="I57" s="273"/>
      <c r="J57" s="273"/>
      <c r="L57" s="273"/>
      <c r="M57" s="273"/>
      <c r="N57" s="273"/>
      <c r="O57" s="273"/>
      <c r="P57" s="273"/>
      <c r="Q57" s="273"/>
      <c r="R57" s="273"/>
      <c r="S57" s="273"/>
      <c r="T57" s="273"/>
      <c r="U57" s="273"/>
      <c r="V57" s="273"/>
      <c r="W57" s="273"/>
      <c r="X57" s="273"/>
      <c r="Y57" s="273"/>
      <c r="Z57" s="273"/>
      <c r="AA57" s="273"/>
      <c r="AB57" s="273"/>
      <c r="AC57" s="273"/>
      <c r="AD57" s="273"/>
      <c r="AE57" s="273"/>
    </row>
  </sheetData>
  <sheetProtection algorithmName="SHA-512" hashValue="gzRTstTlWscPrxCYsZoUtbgbzEhhvT8wJSzLsd1gba979oQlBA/T3tTu5NtIpCuduPQ/BFUy+s5f+L5/aCW+Jg==" saltValue="Ld7YqQUey9HFsiBGwayR5g==" spinCount="100000" sheet="1" selectLockedCells="1"/>
  <mergeCells count="26">
    <mergeCell ref="I34:J34"/>
    <mergeCell ref="I35:J35"/>
    <mergeCell ref="I38:J38"/>
    <mergeCell ref="I39:J39"/>
    <mergeCell ref="I29:J29"/>
    <mergeCell ref="K29:L29"/>
    <mergeCell ref="I30:J30"/>
    <mergeCell ref="K30:L30"/>
    <mergeCell ref="I27:J27"/>
    <mergeCell ref="K27:L27"/>
    <mergeCell ref="I28:J28"/>
    <mergeCell ref="K28:L28"/>
    <mergeCell ref="I25:J25"/>
    <mergeCell ref="I19:J19"/>
    <mergeCell ref="I20:J20"/>
    <mergeCell ref="K20:L20"/>
    <mergeCell ref="K19:L19"/>
    <mergeCell ref="I21:J21"/>
    <mergeCell ref="K21:L21"/>
    <mergeCell ref="I24:J24"/>
    <mergeCell ref="R15:W16"/>
    <mergeCell ref="B14:P14"/>
    <mergeCell ref="I16:J16"/>
    <mergeCell ref="I18:J18"/>
    <mergeCell ref="K18:L18"/>
    <mergeCell ref="Q13:W14"/>
  </mergeCells>
  <conditionalFormatting sqref="J45:J52">
    <cfRule type="expression" dxfId="1" priority="5">
      <formula>AND($I$24="Ja",$I$25="Ja")</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90" id="{EA1CC741-755E-4B51-BBF4-82D39A01192A}">
            <x14:iconSet iconSet="3Symbols2" custom="1">
              <x14:cfvo type="percent">
                <xm:f>0</xm:f>
              </x14:cfvo>
              <x14:cfvo type="num">
                <xm:f>-0.5</xm:f>
              </x14:cfvo>
              <x14:cfvo type="num">
                <xm:f>0.5</xm:f>
              </x14:cfvo>
              <x14:cfIcon iconSet="3Symbols2" iconId="0"/>
              <x14:cfIcon iconSet="3Symbols2" iconId="1"/>
              <x14:cfIcon iconSet="3Symbols2" iconId="2"/>
            </x14:iconSet>
          </x14:cfRule>
          <xm:sqref>P8:P9</xm:sqref>
        </x14:conditionalFormatting>
        <x14:conditionalFormatting xmlns:xm="http://schemas.microsoft.com/office/excel/2006/main">
          <x14:cfRule type="iconSet" priority="2" id="{2E613F99-F39A-44E3-96C7-34251BF0044F}">
            <x14:iconSet iconSet="3Symbols2" custom="1">
              <x14:cfvo type="percent">
                <xm:f>0</xm:f>
              </x14:cfvo>
              <x14:cfvo type="num">
                <xm:f>-0.5</xm:f>
              </x14:cfvo>
              <x14:cfvo type="num">
                <xm:f>0.5</xm:f>
              </x14:cfvo>
              <x14:cfIcon iconSet="3Symbols2" iconId="0"/>
              <x14:cfIcon iconSet="3Symbols2" iconId="1"/>
              <x14:cfIcon iconSet="3Symbols2" iconId="2"/>
            </x14:iconSet>
          </x14:cfRule>
          <xm:sqref>P10 W11</xm:sqref>
        </x14:conditionalFormatting>
        <x14:conditionalFormatting xmlns:xm="http://schemas.microsoft.com/office/excel/2006/main">
          <x14:cfRule type="iconSet" priority="1" id="{98C238EA-4D56-476A-A993-CE2250B18A5A}">
            <x14:iconSet iconSet="3Symbols2" custom="1">
              <x14:cfvo type="percent">
                <xm:f>0</xm:f>
              </x14:cfvo>
              <x14:cfvo type="num">
                <xm:f>-0.5</xm:f>
              </x14:cfvo>
              <x14:cfvo type="num">
                <xm:f>0.5</xm:f>
              </x14:cfvo>
              <x14:cfIcon iconSet="3Symbols2" iconId="0"/>
              <x14:cfIcon iconSet="3Symbols2" iconId="1"/>
              <x14:cfIcon iconSet="3Symbols2" iconId="2"/>
            </x14:iconSet>
          </x14:cfRule>
          <xm:sqref>J12</xm:sqref>
        </x14:conditionalFormatting>
        <x14:conditionalFormatting xmlns:xm="http://schemas.microsoft.com/office/excel/2006/main">
          <x14:cfRule type="iconSet" priority="193" id="{E1FA16C1-8C44-4B84-BFFD-B920D2511B84}">
            <x14:iconSet iconSet="3Symbols2" custom="1">
              <x14:cfvo type="percent">
                <xm:f>0</xm:f>
              </x14:cfvo>
              <x14:cfvo type="num">
                <xm:f>-0.5</xm:f>
              </x14:cfvo>
              <x14:cfvo type="num">
                <xm:f>0.5</xm:f>
              </x14:cfvo>
              <x14:cfIcon iconSet="3Symbols2" iconId="0"/>
              <x14:cfIcon iconSet="3Symbols2" iconId="1"/>
              <x14:cfIcon iconSet="3Symbols2" iconId="2"/>
            </x14:iconSet>
          </x14:cfRule>
          <xm:sqref>L12:M12 O12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0000000}">
          <x14:formula1>
            <xm:f>'Kyllinge - regneark'!$L$55:$L$60</xm:f>
          </x14:formula1>
          <xm:sqref>I38 K37 L38 N38:O38</xm:sqref>
        </x14:dataValidation>
        <x14:dataValidation type="list" allowBlank="1" showInputMessage="1" showErrorMessage="1" xr:uid="{00000000-0002-0000-0400-000001000000}">
          <x14:formula1>
            <xm:f>'Kyllinge - regneark'!$P$41:$P$48</xm:f>
          </x14:formula1>
          <xm:sqref>L34 N34:O34</xm:sqref>
        </x14:dataValidation>
        <x14:dataValidation type="list" allowBlank="1" showInputMessage="1" showErrorMessage="1" xr:uid="{00000000-0002-0000-0400-000002000000}">
          <x14:formula1>
            <xm:f>'Kyllinge - regneark'!$B$41:$C$41</xm:f>
          </x14:formula1>
          <xm:sqref>I16:J16</xm:sqref>
        </x14:dataValidation>
        <x14:dataValidation type="list" allowBlank="1" showInputMessage="1" showErrorMessage="1" xr:uid="{00000000-0002-0000-0400-000003000000}">
          <x14:formula1>
            <xm:f>'Grise - regneark'!$B$16:$D$16</xm:f>
          </x14:formula1>
          <xm:sqref>I19:I21</xm:sqref>
        </x14:dataValidation>
        <x14:dataValidation type="list" allowBlank="1" showInputMessage="1" showErrorMessage="1" xr:uid="{00000000-0002-0000-0400-000004000000}">
          <x14:formula1>
            <xm:f>'Grise - regneark'!$B$10:$C$10</xm:f>
          </x14:formula1>
          <xm:sqref>I24:J26</xm:sqref>
        </x14:dataValidation>
        <x14:dataValidation type="list" allowBlank="1" showInputMessage="1" showErrorMessage="1" xr:uid="{00000000-0002-0000-0400-000005000000}">
          <x14:formula1>
            <xm:f>'Kyllinge - regneark'!$P$41:$P$46</xm:f>
          </x14:formula1>
          <xm:sqref>I34:J34</xm:sqref>
        </x14:dataValidation>
        <x14:dataValidation type="list" allowBlank="1" showInputMessage="1" showErrorMessage="1" xr:uid="{00000000-0002-0000-0400-000006000000}">
          <x14:formula1>
            <xm:f>'Kyllinge - regneark'!$B$25:$C$25</xm:f>
          </x14:formula1>
          <xm:sqref>O8:O10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U44"/>
  <sheetViews>
    <sheetView zoomScaleNormal="100" workbookViewId="0">
      <selection activeCell="I24" sqref="I24:J24"/>
    </sheetView>
  </sheetViews>
  <sheetFormatPr defaultColWidth="9.140625" defaultRowHeight="15" x14ac:dyDescent="0.25"/>
  <cols>
    <col min="1" max="9" width="9.140625" style="92" customWidth="1"/>
    <col min="10" max="10" width="11.85546875" style="92" customWidth="1"/>
    <col min="11" max="11" width="9.140625" style="92" customWidth="1"/>
    <col min="12" max="12" width="18.28515625" style="92" customWidth="1"/>
    <col min="13" max="13" width="19.42578125" style="92" customWidth="1"/>
    <col min="14" max="14" width="9.140625" style="92" customWidth="1"/>
    <col min="15" max="15" width="13.7109375" style="92" customWidth="1"/>
    <col min="16" max="16" width="9.140625" style="92" customWidth="1"/>
    <col min="17" max="17" width="11.85546875" style="92" customWidth="1"/>
    <col min="18" max="21" width="9.140625" style="92" customWidth="1"/>
    <col min="22" max="16384" width="9.140625" style="92"/>
  </cols>
  <sheetData>
    <row r="1" spans="1:21" ht="15" customHeight="1" x14ac:dyDescent="0.25">
      <c r="A1" s="64"/>
      <c r="B1" s="64"/>
      <c r="C1" s="64"/>
      <c r="D1" s="64"/>
      <c r="E1" s="64"/>
      <c r="F1" s="64"/>
      <c r="G1" s="64"/>
      <c r="H1" s="64"/>
      <c r="I1" s="64"/>
      <c r="J1" s="64"/>
      <c r="K1" s="64"/>
      <c r="L1" s="64"/>
      <c r="M1" s="64"/>
      <c r="N1" s="64"/>
      <c r="O1" s="64"/>
      <c r="P1" s="64"/>
      <c r="Q1" s="64"/>
      <c r="R1" s="64"/>
      <c r="S1" s="64"/>
      <c r="T1" s="64"/>
    </row>
    <row r="2" spans="1:21" ht="15" customHeight="1" x14ac:dyDescent="0.25">
      <c r="A2" s="64"/>
      <c r="B2" s="64"/>
      <c r="C2" s="64"/>
      <c r="D2" s="64"/>
      <c r="E2" s="64"/>
      <c r="F2" s="64"/>
      <c r="G2" s="64"/>
      <c r="H2" s="64"/>
      <c r="I2" s="64"/>
      <c r="J2" s="64"/>
      <c r="K2" s="64"/>
      <c r="L2" s="64"/>
      <c r="M2" s="64"/>
      <c r="N2" s="64"/>
      <c r="O2" s="64"/>
      <c r="P2" s="64"/>
      <c r="Q2" s="64"/>
      <c r="R2" s="64"/>
      <c r="S2" s="64"/>
      <c r="T2" s="64"/>
    </row>
    <row r="3" spans="1:21" ht="15" customHeight="1" x14ac:dyDescent="0.25">
      <c r="A3" s="64"/>
      <c r="B3" s="64"/>
      <c r="C3" s="64"/>
      <c r="D3" s="64"/>
      <c r="E3" s="64"/>
      <c r="F3" s="64"/>
      <c r="G3" s="64"/>
      <c r="H3" s="64"/>
      <c r="I3" s="64"/>
      <c r="J3" s="64"/>
      <c r="K3" s="64"/>
      <c r="L3" s="64"/>
      <c r="M3" s="64"/>
      <c r="N3" s="64"/>
      <c r="O3" s="64"/>
      <c r="P3" s="64"/>
      <c r="Q3" s="64"/>
      <c r="R3" s="64"/>
      <c r="S3" s="64"/>
      <c r="T3" s="64"/>
    </row>
    <row r="4" spans="1:21" ht="15" customHeight="1" x14ac:dyDescent="0.25">
      <c r="A4" s="64"/>
      <c r="B4" s="274" t="str">
        <f>Beskrivelse!C16</f>
        <v xml:space="preserve">Tiltag 3 Udskiftning af varmeforsyning - opvarmning af konventionelle slagtekyllingestalde </v>
      </c>
      <c r="C4" s="64"/>
      <c r="D4" s="64"/>
      <c r="E4" s="64"/>
      <c r="F4" s="64"/>
      <c r="G4" s="64"/>
      <c r="H4" s="64"/>
      <c r="I4" s="64"/>
      <c r="J4" s="64"/>
      <c r="K4" s="64"/>
      <c r="L4" s="64"/>
      <c r="M4" s="64"/>
      <c r="N4" s="64"/>
      <c r="O4" s="64"/>
      <c r="P4" s="64"/>
      <c r="Q4" s="64"/>
      <c r="R4" s="64"/>
      <c r="S4" s="64"/>
      <c r="T4" s="286" t="str">
        <f>Forside!P4</f>
        <v>Vers. 6  15.07.2025</v>
      </c>
      <c r="U4" s="287"/>
    </row>
    <row r="5" spans="1:21" ht="15" customHeight="1" x14ac:dyDescent="0.25">
      <c r="A5" s="39"/>
      <c r="B5" s="39"/>
      <c r="C5" s="39"/>
      <c r="D5" s="39"/>
      <c r="E5" s="39"/>
      <c r="F5" s="39"/>
      <c r="G5" s="39"/>
      <c r="H5" s="39"/>
      <c r="I5" s="39"/>
      <c r="J5" s="39"/>
      <c r="K5" s="39"/>
      <c r="L5" s="39"/>
      <c r="M5" s="39"/>
      <c r="N5" s="39"/>
      <c r="O5" s="39"/>
      <c r="P5" s="39"/>
      <c r="Q5" s="39"/>
      <c r="R5" s="39"/>
      <c r="S5" s="39"/>
      <c r="T5" s="39"/>
    </row>
    <row r="6" spans="1:21" ht="15" customHeight="1" x14ac:dyDescent="0.25">
      <c r="A6" s="64"/>
      <c r="B6" s="112"/>
      <c r="C6" s="112"/>
      <c r="D6" s="112"/>
      <c r="E6" s="112"/>
      <c r="F6" s="112"/>
      <c r="G6" s="112"/>
      <c r="H6" s="112"/>
      <c r="I6" s="112"/>
      <c r="J6" s="112"/>
      <c r="K6" s="112"/>
      <c r="L6" s="112"/>
      <c r="M6" s="112"/>
      <c r="N6" s="112"/>
      <c r="O6" s="73"/>
      <c r="P6" s="20"/>
      <c r="Q6" s="20"/>
      <c r="R6" s="20"/>
      <c r="S6" s="64"/>
      <c r="T6" s="64"/>
    </row>
    <row r="7" spans="1:21" ht="15" customHeight="1" x14ac:dyDescent="0.25">
      <c r="A7" s="64"/>
      <c r="B7" s="112" t="s">
        <v>6</v>
      </c>
      <c r="C7" s="112"/>
      <c r="D7" s="112"/>
      <c r="E7" s="112"/>
      <c r="F7" s="112"/>
      <c r="G7" s="112"/>
      <c r="H7" s="112"/>
      <c r="I7" s="112"/>
      <c r="J7" s="112"/>
      <c r="K7" s="112"/>
      <c r="L7" s="112"/>
      <c r="M7" s="112"/>
      <c r="N7" s="112"/>
      <c r="O7" s="69"/>
      <c r="P7" s="69"/>
      <c r="Q7" s="69"/>
      <c r="R7" s="69"/>
      <c r="S7" s="64"/>
      <c r="T7" s="64"/>
    </row>
    <row r="8" spans="1:21" x14ac:dyDescent="0.25">
      <c r="A8" s="64"/>
      <c r="B8" s="457" t="s">
        <v>7</v>
      </c>
      <c r="C8" s="459" t="s">
        <v>284</v>
      </c>
      <c r="D8" s="459"/>
      <c r="E8" s="459"/>
      <c r="F8" s="459"/>
      <c r="G8" s="459"/>
      <c r="H8" s="459"/>
      <c r="I8" s="459"/>
      <c r="J8" s="459"/>
      <c r="K8" s="459"/>
      <c r="L8" s="459"/>
      <c r="M8" s="459"/>
      <c r="N8" s="71"/>
      <c r="O8" s="62">
        <f>IF(N8="",0,IF(N8=P8,-1,1))</f>
        <v>0</v>
      </c>
      <c r="P8" s="156" t="s">
        <v>194</v>
      </c>
      <c r="Q8" s="259"/>
      <c r="R8" s="259"/>
      <c r="S8" s="259"/>
      <c r="T8" s="64"/>
    </row>
    <row r="9" spans="1:21" ht="15" customHeight="1" x14ac:dyDescent="0.25">
      <c r="A9" s="64"/>
      <c r="B9" s="457" t="s">
        <v>7</v>
      </c>
      <c r="C9" s="492" t="s">
        <v>292</v>
      </c>
      <c r="D9" s="492"/>
      <c r="E9" s="492"/>
      <c r="F9" s="492"/>
      <c r="G9" s="492"/>
      <c r="H9" s="492"/>
      <c r="I9" s="492"/>
      <c r="J9" s="492"/>
      <c r="K9" s="492"/>
      <c r="L9" s="492"/>
      <c r="M9" s="492"/>
      <c r="N9" s="71"/>
      <c r="O9" s="62">
        <f>IF(N9="",0,IF(N9=P9,1,-1))</f>
        <v>0</v>
      </c>
      <c r="P9" s="156" t="s">
        <v>194</v>
      </c>
      <c r="Q9" s="259"/>
      <c r="R9" s="259"/>
      <c r="S9" s="259"/>
      <c r="T9" s="64"/>
    </row>
    <row r="10" spans="1:21" x14ac:dyDescent="0.25">
      <c r="A10" s="64"/>
      <c r="B10" s="457" t="s">
        <v>7</v>
      </c>
      <c r="C10" s="494" t="s">
        <v>242</v>
      </c>
      <c r="D10" s="494"/>
      <c r="E10" s="494"/>
      <c r="F10" s="494"/>
      <c r="G10" s="494"/>
      <c r="H10" s="494"/>
      <c r="I10" s="494"/>
      <c r="J10" s="494"/>
      <c r="K10" s="494"/>
      <c r="L10" s="494"/>
      <c r="M10" s="494"/>
      <c r="N10" s="71"/>
      <c r="O10" s="62">
        <f>IF(N10="",0,IF(N10=P10,1,-1))</f>
        <v>0</v>
      </c>
      <c r="P10" s="156" t="s">
        <v>194</v>
      </c>
      <c r="Q10" s="259"/>
      <c r="R10" s="259"/>
      <c r="S10" s="259"/>
      <c r="T10" s="64"/>
    </row>
    <row r="11" spans="1:21" x14ac:dyDescent="0.25">
      <c r="A11" s="64"/>
      <c r="B11" s="85"/>
      <c r="C11" s="253"/>
      <c r="D11" s="253"/>
      <c r="E11" s="253"/>
      <c r="F11" s="253"/>
      <c r="G11" s="253"/>
      <c r="H11" s="253"/>
      <c r="I11" s="253"/>
      <c r="J11" s="253"/>
      <c r="K11" s="253"/>
      <c r="L11" s="253"/>
      <c r="M11" s="253"/>
      <c r="N11" s="250"/>
      <c r="O11" s="250"/>
      <c r="P11" s="250"/>
      <c r="Q11" s="250"/>
      <c r="R11" s="250"/>
      <c r="S11" s="64"/>
      <c r="T11" s="64"/>
    </row>
    <row r="12" spans="1:21" ht="29.25" x14ac:dyDescent="0.25">
      <c r="A12" s="64"/>
      <c r="B12" s="85"/>
      <c r="C12" s="252" t="str">
        <f>IF(L12=0,"Spørgsmål om afgrænsning er ikke besvaret",IF(L12=1,"Projektet er omfattet af standardløsningen","Projektet er IKKE omfattet af standardløsningen"))</f>
        <v>Spørgsmål om afgrænsning er ikke besvaret</v>
      </c>
      <c r="D12" s="253"/>
      <c r="E12" s="253"/>
      <c r="F12" s="253"/>
      <c r="G12" s="253"/>
      <c r="H12" s="253"/>
      <c r="I12" s="300" t="s">
        <v>39</v>
      </c>
      <c r="J12" s="257"/>
      <c r="K12" s="258"/>
      <c r="L12" s="255">
        <f>MIN(O8:O10)</f>
        <v>0</v>
      </c>
      <c r="M12" s="64"/>
      <c r="N12" s="64"/>
      <c r="O12" s="250"/>
      <c r="P12" s="250"/>
      <c r="Q12" s="250"/>
      <c r="R12" s="250"/>
      <c r="S12" s="64"/>
      <c r="T12" s="64"/>
    </row>
    <row r="13" spans="1:21" x14ac:dyDescent="0.25">
      <c r="A13" s="64"/>
      <c r="B13" s="64"/>
      <c r="C13" s="64"/>
      <c r="D13" s="64"/>
      <c r="E13" s="64"/>
      <c r="F13" s="64"/>
      <c r="G13" s="64"/>
      <c r="H13" s="64"/>
      <c r="I13" s="64"/>
      <c r="J13" s="64"/>
      <c r="K13" s="64"/>
      <c r="L13" s="64"/>
      <c r="M13" s="64"/>
      <c r="N13" s="64"/>
      <c r="O13" s="64"/>
      <c r="P13" s="64"/>
      <c r="Q13" s="64"/>
      <c r="R13" s="64"/>
      <c r="S13" s="64"/>
      <c r="T13" s="64"/>
    </row>
    <row r="14" spans="1:21" x14ac:dyDescent="0.25">
      <c r="A14" s="64"/>
      <c r="B14" s="64"/>
      <c r="C14" s="64"/>
      <c r="D14" s="64"/>
      <c r="E14" s="64"/>
      <c r="F14" s="64"/>
      <c r="G14" s="64"/>
      <c r="H14" s="64"/>
      <c r="I14" s="64"/>
      <c r="J14" s="64"/>
      <c r="K14" s="64"/>
      <c r="L14" s="64"/>
      <c r="M14" s="64"/>
      <c r="N14" s="64"/>
      <c r="O14" s="64"/>
      <c r="P14" s="64"/>
      <c r="Q14" s="64"/>
      <c r="R14" s="64"/>
      <c r="S14" s="64"/>
      <c r="T14" s="64"/>
    </row>
    <row r="15" spans="1:21" ht="18" x14ac:dyDescent="0.25">
      <c r="A15" s="64"/>
      <c r="B15" s="402" t="s">
        <v>10</v>
      </c>
      <c r="C15" s="402"/>
      <c r="D15" s="402"/>
      <c r="E15" s="402"/>
      <c r="F15" s="402"/>
      <c r="G15" s="402"/>
      <c r="H15" s="402"/>
      <c r="I15" s="402"/>
      <c r="J15" s="402"/>
      <c r="K15" s="402"/>
      <c r="L15" s="64"/>
      <c r="M15" s="64"/>
      <c r="N15" s="64"/>
      <c r="O15" s="64"/>
      <c r="P15" s="64"/>
      <c r="Q15" s="64"/>
      <c r="R15" s="64"/>
      <c r="S15" s="64"/>
      <c r="T15" s="64"/>
    </row>
    <row r="16" spans="1:21" x14ac:dyDescent="0.25">
      <c r="A16" s="64"/>
      <c r="B16" s="259"/>
      <c r="C16" s="259"/>
      <c r="D16" s="259"/>
      <c r="E16" s="259"/>
      <c r="F16" s="259"/>
      <c r="G16" s="259"/>
      <c r="H16" s="259"/>
      <c r="I16" s="259"/>
      <c r="J16" s="259"/>
      <c r="K16" s="259"/>
      <c r="L16" s="64"/>
      <c r="M16" s="64"/>
      <c r="N16" s="64"/>
      <c r="O16" s="64"/>
      <c r="P16" s="64"/>
      <c r="Q16" s="64"/>
      <c r="R16" s="64"/>
      <c r="S16" s="64"/>
      <c r="T16" s="64"/>
    </row>
    <row r="17" spans="1:20" ht="19.5" customHeight="1" x14ac:dyDescent="0.25">
      <c r="A17" s="64"/>
      <c r="B17" s="497" t="s">
        <v>109</v>
      </c>
      <c r="C17" s="276" t="s">
        <v>154</v>
      </c>
      <c r="D17" s="259"/>
      <c r="E17" s="259"/>
      <c r="F17" s="259"/>
      <c r="G17" s="259"/>
      <c r="H17" s="259"/>
      <c r="I17" s="426"/>
      <c r="J17" s="427"/>
      <c r="K17" s="259"/>
      <c r="L17" s="64"/>
      <c r="M17" s="64"/>
      <c r="N17" s="64"/>
      <c r="O17" s="64"/>
      <c r="P17" s="64"/>
      <c r="Q17" s="64"/>
      <c r="R17" s="64"/>
      <c r="S17" s="64"/>
      <c r="T17" s="64"/>
    </row>
    <row r="18" spans="1:20" ht="19.5" customHeight="1" x14ac:dyDescent="0.25">
      <c r="A18" s="64"/>
      <c r="B18" s="288"/>
      <c r="C18" s="259"/>
      <c r="D18" s="259"/>
      <c r="E18" s="259"/>
      <c r="F18" s="259"/>
      <c r="G18" s="259"/>
      <c r="H18" s="259"/>
      <c r="I18" s="279"/>
      <c r="J18" s="279"/>
      <c r="K18" s="259"/>
      <c r="L18" s="64"/>
      <c r="M18" s="64"/>
      <c r="N18" s="64"/>
      <c r="O18" s="64"/>
      <c r="P18" s="64"/>
      <c r="Q18" s="64"/>
      <c r="R18" s="64"/>
      <c r="S18" s="64"/>
      <c r="T18" s="64"/>
    </row>
    <row r="19" spans="1:20" ht="19.5" customHeight="1" x14ac:dyDescent="0.25">
      <c r="A19" s="64"/>
      <c r="B19" s="288" t="s">
        <v>41</v>
      </c>
      <c r="C19" s="259" t="str">
        <f>"Antal slagtekyllinger jf. "&amp; I17</f>
        <v xml:space="preserve">Antal slagtekyllinger jf. </v>
      </c>
      <c r="D19" s="259"/>
      <c r="E19" s="259"/>
      <c r="F19" s="259"/>
      <c r="G19" s="259"/>
      <c r="H19" s="259"/>
      <c r="I19" s="426"/>
      <c r="J19" s="427"/>
      <c r="K19" s="259"/>
      <c r="L19" s="64"/>
      <c r="M19" s="64"/>
      <c r="N19" s="64"/>
      <c r="O19" s="64"/>
      <c r="P19" s="64"/>
      <c r="Q19" s="64"/>
      <c r="R19" s="64"/>
      <c r="S19" s="64"/>
      <c r="T19" s="64"/>
    </row>
    <row r="20" spans="1:20" ht="19.5" customHeight="1" x14ac:dyDescent="0.25">
      <c r="A20" s="64"/>
      <c r="B20" s="288"/>
      <c r="C20" s="259" t="s">
        <v>231</v>
      </c>
      <c r="D20" s="259"/>
      <c r="E20" s="259"/>
      <c r="F20" s="259"/>
      <c r="G20" s="259"/>
      <c r="H20" s="259"/>
      <c r="I20" s="435" t="b">
        <f>IF(I17='Kyllinge - regneark'!B41,'Kyllinge - regneark'!B42,IF(I17='Kyllinge - regneark'!C41,'Kyllinge - regneark'!C42))</f>
        <v>0</v>
      </c>
      <c r="J20" s="435"/>
      <c r="K20" s="259"/>
      <c r="L20" s="64"/>
      <c r="M20" s="64"/>
      <c r="N20" s="64"/>
      <c r="O20" s="64"/>
      <c r="P20" s="64"/>
      <c r="Q20" s="64"/>
      <c r="R20" s="64"/>
      <c r="S20" s="64"/>
      <c r="T20" s="64"/>
    </row>
    <row r="21" spans="1:20" ht="19.5" customHeight="1" x14ac:dyDescent="0.25">
      <c r="A21" s="64"/>
      <c r="B21" s="288"/>
      <c r="C21" s="259" t="s">
        <v>235</v>
      </c>
      <c r="D21" s="259"/>
      <c r="E21" s="259"/>
      <c r="F21" s="259"/>
      <c r="G21" s="259"/>
      <c r="H21" s="259"/>
      <c r="I21" s="435">
        <f>'Kyllinge - regneark'!C45</f>
        <v>0</v>
      </c>
      <c r="J21" s="435"/>
      <c r="K21" s="259"/>
      <c r="L21" s="64"/>
      <c r="M21" s="64"/>
      <c r="N21" s="64"/>
      <c r="O21" s="64"/>
      <c r="P21" s="64"/>
      <c r="Q21" s="64"/>
      <c r="R21" s="64"/>
      <c r="S21" s="64"/>
      <c r="T21" s="64"/>
    </row>
    <row r="22" spans="1:20" ht="19.5" customHeight="1" x14ac:dyDescent="0.25">
      <c r="A22" s="64"/>
      <c r="B22" s="288"/>
      <c r="C22" s="259"/>
      <c r="D22" s="259"/>
      <c r="E22" s="259"/>
      <c r="F22" s="259"/>
      <c r="G22" s="259"/>
      <c r="H22" s="259"/>
      <c r="I22" s="279"/>
      <c r="J22" s="279"/>
      <c r="K22" s="259"/>
      <c r="L22" s="64"/>
      <c r="M22" s="64"/>
      <c r="N22" s="64"/>
      <c r="O22" s="64"/>
      <c r="P22" s="64"/>
      <c r="Q22" s="64"/>
      <c r="R22" s="64"/>
      <c r="S22" s="64"/>
      <c r="T22" s="64"/>
    </row>
    <row r="23" spans="1:20" ht="19.5" customHeight="1" x14ac:dyDescent="0.25">
      <c r="A23" s="64"/>
      <c r="B23" s="497" t="s">
        <v>110</v>
      </c>
      <c r="C23" s="276" t="s">
        <v>237</v>
      </c>
      <c r="D23" s="259"/>
      <c r="E23" s="259"/>
      <c r="F23" s="259"/>
      <c r="G23" s="259"/>
      <c r="H23" s="259"/>
      <c r="I23" s="279"/>
      <c r="J23" s="279"/>
      <c r="K23" s="259"/>
      <c r="L23" s="64"/>
      <c r="M23" s="64"/>
      <c r="N23" s="64"/>
      <c r="O23" s="64"/>
      <c r="P23" s="64"/>
      <c r="Q23" s="64"/>
      <c r="R23" s="64"/>
      <c r="S23" s="64"/>
      <c r="T23" s="64"/>
    </row>
    <row r="24" spans="1:20" ht="19.5" customHeight="1" x14ac:dyDescent="0.25">
      <c r="A24" s="64"/>
      <c r="B24" s="288" t="s">
        <v>179</v>
      </c>
      <c r="C24" s="259" t="s">
        <v>238</v>
      </c>
      <c r="D24" s="259"/>
      <c r="E24" s="259"/>
      <c r="F24" s="259"/>
      <c r="G24" s="259"/>
      <c r="H24" s="259"/>
      <c r="I24" s="430"/>
      <c r="J24" s="430"/>
      <c r="K24" s="259"/>
      <c r="L24" s="64"/>
      <c r="M24" s="64"/>
      <c r="N24" s="64"/>
      <c r="O24" s="64"/>
      <c r="P24" s="64"/>
      <c r="Q24" s="64"/>
      <c r="R24" s="64"/>
      <c r="S24" s="64"/>
      <c r="T24" s="64"/>
    </row>
    <row r="25" spans="1:20" ht="19.5" customHeight="1" x14ac:dyDescent="0.25">
      <c r="A25" s="64"/>
      <c r="B25" s="288" t="s">
        <v>182</v>
      </c>
      <c r="C25" s="259" t="s">
        <v>239</v>
      </c>
      <c r="D25" s="259"/>
      <c r="E25" s="259"/>
      <c r="F25" s="259"/>
      <c r="G25" s="259"/>
      <c r="H25" s="259"/>
      <c r="I25" s="426"/>
      <c r="J25" s="427"/>
      <c r="K25" s="259"/>
      <c r="L25" s="64"/>
      <c r="M25" s="64"/>
      <c r="N25" s="64"/>
      <c r="O25" s="64"/>
      <c r="P25" s="64"/>
      <c r="Q25" s="64"/>
      <c r="R25" s="64"/>
      <c r="S25" s="64"/>
      <c r="T25" s="64"/>
    </row>
    <row r="26" spans="1:20" ht="19.5" customHeight="1" x14ac:dyDescent="0.25">
      <c r="A26" s="64"/>
      <c r="B26" s="288"/>
      <c r="C26" s="259"/>
      <c r="D26" s="259"/>
      <c r="E26" s="259"/>
      <c r="F26" s="259"/>
      <c r="G26" s="259"/>
      <c r="H26" s="259"/>
      <c r="I26" s="279"/>
      <c r="J26" s="279"/>
      <c r="K26" s="259"/>
      <c r="L26" s="64"/>
      <c r="M26" s="64"/>
      <c r="N26" s="64"/>
      <c r="O26" s="64"/>
      <c r="P26" s="64"/>
      <c r="Q26" s="64"/>
      <c r="R26" s="64"/>
      <c r="S26" s="64"/>
      <c r="T26" s="64"/>
    </row>
    <row r="27" spans="1:20" ht="19.5" customHeight="1" x14ac:dyDescent="0.25">
      <c r="A27" s="64"/>
      <c r="B27" s="497" t="s">
        <v>157</v>
      </c>
      <c r="C27" s="276" t="s">
        <v>245</v>
      </c>
      <c r="D27" s="259"/>
      <c r="E27" s="259"/>
      <c r="F27" s="259"/>
      <c r="G27" s="259"/>
      <c r="H27" s="259"/>
      <c r="I27" s="281"/>
      <c r="J27" s="281"/>
      <c r="K27" s="259"/>
      <c r="L27" s="64"/>
      <c r="M27" s="280"/>
      <c r="N27" s="64"/>
      <c r="O27" s="64"/>
      <c r="P27" s="64"/>
      <c r="Q27" s="64"/>
      <c r="R27" s="64"/>
      <c r="S27" s="64"/>
      <c r="T27" s="64"/>
    </row>
    <row r="28" spans="1:20" ht="19.5" customHeight="1" x14ac:dyDescent="0.25">
      <c r="A28" s="64"/>
      <c r="B28" s="288" t="s">
        <v>42</v>
      </c>
      <c r="C28" s="259" t="s">
        <v>247</v>
      </c>
      <c r="D28" s="259"/>
      <c r="E28" s="259"/>
      <c r="F28" s="259"/>
      <c r="G28" s="259"/>
      <c r="H28" s="259"/>
      <c r="I28" s="430"/>
      <c r="J28" s="430"/>
      <c r="K28" s="259"/>
      <c r="L28" s="64"/>
      <c r="M28" s="64"/>
      <c r="N28" s="64"/>
      <c r="O28" s="64"/>
      <c r="P28" s="64"/>
      <c r="Q28" s="64"/>
      <c r="R28" s="64"/>
      <c r="S28" s="64"/>
      <c r="T28" s="64"/>
    </row>
    <row r="29" spans="1:20" ht="19.5" customHeight="1" x14ac:dyDescent="0.25">
      <c r="A29" s="64"/>
      <c r="B29" s="288" t="s">
        <v>246</v>
      </c>
      <c r="C29" s="259" t="s">
        <v>248</v>
      </c>
      <c r="D29" s="259"/>
      <c r="E29" s="259"/>
      <c r="F29" s="259"/>
      <c r="G29" s="259"/>
      <c r="H29" s="259"/>
      <c r="I29" s="426"/>
      <c r="J29" s="427"/>
      <c r="K29" s="259"/>
      <c r="L29" s="64"/>
      <c r="M29" s="64"/>
      <c r="N29" s="64"/>
      <c r="O29" s="64"/>
      <c r="P29" s="64"/>
      <c r="Q29" s="64"/>
      <c r="R29" s="64"/>
      <c r="S29" s="64"/>
      <c r="T29" s="64"/>
    </row>
    <row r="30" spans="1:20" x14ac:dyDescent="0.25">
      <c r="A30" s="64"/>
      <c r="B30" s="259"/>
      <c r="C30" s="259"/>
      <c r="D30" s="259"/>
      <c r="E30" s="259"/>
      <c r="F30" s="259"/>
      <c r="G30" s="259"/>
      <c r="H30" s="259"/>
      <c r="I30" s="259"/>
      <c r="J30" s="259"/>
      <c r="K30" s="259"/>
      <c r="L30" s="64"/>
      <c r="M30" s="64"/>
      <c r="N30" s="64"/>
      <c r="O30" s="64"/>
      <c r="P30" s="64"/>
      <c r="Q30" s="64"/>
      <c r="R30" s="64"/>
      <c r="S30" s="64"/>
      <c r="T30" s="64"/>
    </row>
    <row r="31" spans="1:20" x14ac:dyDescent="0.25">
      <c r="A31" s="64"/>
      <c r="B31" s="64"/>
      <c r="C31" s="64"/>
      <c r="D31" s="64"/>
      <c r="E31" s="64"/>
      <c r="F31" s="64"/>
      <c r="G31" s="64"/>
      <c r="H31" s="64"/>
      <c r="I31" s="64"/>
      <c r="J31" s="64"/>
      <c r="K31" s="64"/>
      <c r="L31" s="64"/>
      <c r="M31" s="64"/>
      <c r="N31" s="64"/>
      <c r="O31" s="64"/>
      <c r="P31" s="64"/>
      <c r="Q31" s="64"/>
      <c r="R31" s="64"/>
      <c r="S31" s="64"/>
      <c r="T31" s="64"/>
    </row>
    <row r="32" spans="1:20" x14ac:dyDescent="0.25">
      <c r="A32" s="64"/>
      <c r="B32" s="64"/>
      <c r="C32" s="64"/>
      <c r="D32" s="64"/>
      <c r="E32" s="64"/>
      <c r="F32" s="64"/>
      <c r="G32" s="64"/>
      <c r="H32" s="64"/>
      <c r="I32" s="64"/>
      <c r="J32" s="64"/>
      <c r="K32" s="64"/>
      <c r="L32" s="64"/>
      <c r="M32" s="64"/>
      <c r="N32" s="64"/>
      <c r="O32" s="64"/>
      <c r="P32" s="64"/>
      <c r="Q32" s="64"/>
      <c r="R32" s="64"/>
      <c r="S32" s="64"/>
      <c r="T32" s="64"/>
    </row>
    <row r="33" spans="1:20" x14ac:dyDescent="0.25">
      <c r="A33" s="64"/>
      <c r="B33" s="64"/>
      <c r="C33" s="64"/>
      <c r="D33" s="64"/>
      <c r="E33" s="64"/>
      <c r="F33" s="64"/>
      <c r="G33" s="64"/>
      <c r="H33" s="64"/>
      <c r="I33" s="64"/>
      <c r="J33" s="64"/>
      <c r="K33" s="64"/>
      <c r="L33" s="64"/>
      <c r="M33" s="64"/>
      <c r="N33" s="64"/>
      <c r="O33" s="64"/>
      <c r="P33" s="64"/>
      <c r="Q33" s="64"/>
      <c r="R33" s="64"/>
      <c r="S33" s="64"/>
      <c r="T33" s="64"/>
    </row>
    <row r="34" spans="1:20" ht="18" x14ac:dyDescent="0.25">
      <c r="A34" s="64"/>
      <c r="B34" s="402" t="s">
        <v>13</v>
      </c>
      <c r="C34" s="402"/>
      <c r="D34" s="402"/>
      <c r="E34" s="402"/>
      <c r="F34" s="402"/>
      <c r="G34" s="402"/>
      <c r="H34" s="402"/>
      <c r="I34" s="402"/>
      <c r="J34" s="402"/>
      <c r="K34" s="402"/>
      <c r="L34" s="64"/>
      <c r="M34" s="64"/>
      <c r="N34" s="64"/>
      <c r="O34" s="64"/>
      <c r="P34" s="64"/>
      <c r="Q34" s="64"/>
      <c r="R34" s="64"/>
      <c r="S34" s="64"/>
      <c r="T34" s="64"/>
    </row>
    <row r="35" spans="1:20" x14ac:dyDescent="0.25">
      <c r="A35" s="64"/>
      <c r="B35" s="259" t="s">
        <v>46</v>
      </c>
      <c r="C35" s="259"/>
      <c r="D35" s="259"/>
      <c r="E35" s="259"/>
      <c r="F35" s="259"/>
      <c r="G35" s="288" t="str">
        <f>IF(I17="","-",VLOOKUP(I24,'Kyllinge - regneark'!P41:Q48,2,FALSE))</f>
        <v>-</v>
      </c>
      <c r="H35" s="259"/>
      <c r="I35" s="259"/>
      <c r="J35" s="259"/>
      <c r="K35" s="259"/>
      <c r="L35" s="64"/>
      <c r="M35" s="64"/>
      <c r="N35" s="64"/>
      <c r="O35" s="64"/>
      <c r="P35" s="64"/>
      <c r="Q35" s="64"/>
      <c r="R35" s="64"/>
      <c r="S35" s="64"/>
      <c r="T35" s="64"/>
    </row>
    <row r="36" spans="1:20" x14ac:dyDescent="0.25">
      <c r="A36" s="64"/>
      <c r="B36" s="259" t="s">
        <v>45</v>
      </c>
      <c r="C36" s="259"/>
      <c r="D36" s="259"/>
      <c r="E36" s="259"/>
      <c r="F36" s="259"/>
      <c r="G36" s="289" t="str">
        <f>IF(I17="","-",'Kyllinge - regneark'!D45/1000)</f>
        <v>-</v>
      </c>
      <c r="H36" s="259" t="s">
        <v>244</v>
      </c>
      <c r="I36" s="259"/>
      <c r="J36" s="259"/>
      <c r="K36" s="259"/>
      <c r="L36" s="64"/>
      <c r="M36" s="64"/>
      <c r="N36" s="64"/>
      <c r="O36" s="64"/>
      <c r="P36" s="64"/>
      <c r="Q36" s="64"/>
      <c r="R36" s="64"/>
      <c r="S36" s="64"/>
      <c r="T36" s="64"/>
    </row>
    <row r="37" spans="1:20" x14ac:dyDescent="0.25">
      <c r="A37" s="64"/>
      <c r="B37" s="259"/>
      <c r="C37" s="259"/>
      <c r="D37" s="259"/>
      <c r="E37" s="259"/>
      <c r="F37" s="259"/>
      <c r="G37" s="290"/>
      <c r="H37" s="259"/>
      <c r="I37" s="259"/>
      <c r="J37" s="259"/>
      <c r="K37" s="259"/>
      <c r="L37" s="64"/>
      <c r="M37" s="64"/>
      <c r="N37" s="64"/>
      <c r="O37" s="64"/>
      <c r="P37" s="64"/>
      <c r="Q37" s="64"/>
      <c r="R37" s="64"/>
      <c r="S37" s="64"/>
      <c r="T37" s="64"/>
    </row>
    <row r="38" spans="1:20" x14ac:dyDescent="0.25">
      <c r="A38" s="64"/>
      <c r="B38" s="259" t="s">
        <v>44</v>
      </c>
      <c r="C38" s="259"/>
      <c r="D38" s="259"/>
      <c r="E38" s="259"/>
      <c r="F38" s="259"/>
      <c r="G38" s="289" t="str">
        <f>IF(I17="","-",VLOOKUP(I28,'Kyllinge - regneark'!L55:N60,3,FALSE))</f>
        <v>-</v>
      </c>
      <c r="H38" s="259"/>
      <c r="I38" s="259"/>
      <c r="J38" s="259"/>
      <c r="K38" s="259"/>
      <c r="L38" s="64"/>
      <c r="M38" s="64"/>
      <c r="N38" s="64"/>
      <c r="O38" s="64"/>
      <c r="P38" s="64"/>
      <c r="Q38" s="64"/>
      <c r="R38" s="64"/>
      <c r="S38" s="64"/>
      <c r="T38" s="64"/>
    </row>
    <row r="39" spans="1:20" x14ac:dyDescent="0.25">
      <c r="A39" s="64"/>
      <c r="B39" s="259" t="s">
        <v>43</v>
      </c>
      <c r="C39" s="259"/>
      <c r="D39" s="259"/>
      <c r="E39" s="259"/>
      <c r="F39" s="259"/>
      <c r="G39" s="289" t="str">
        <f>IF(I17="","-",'Kyllinge - regneark'!E45/1000)</f>
        <v>-</v>
      </c>
      <c r="H39" s="259" t="s">
        <v>244</v>
      </c>
      <c r="I39" s="259"/>
      <c r="J39" s="259"/>
      <c r="K39" s="259"/>
      <c r="L39" s="64"/>
      <c r="M39" s="64"/>
      <c r="N39" s="64"/>
      <c r="O39" s="64"/>
      <c r="P39" s="64"/>
      <c r="Q39" s="64"/>
      <c r="R39" s="64"/>
      <c r="S39" s="64"/>
      <c r="T39" s="64"/>
    </row>
    <row r="40" spans="1:20" x14ac:dyDescent="0.25">
      <c r="A40" s="64"/>
      <c r="B40" s="259"/>
      <c r="C40" s="259"/>
      <c r="D40" s="259"/>
      <c r="E40" s="259"/>
      <c r="F40" s="259"/>
      <c r="G40" s="290"/>
      <c r="H40" s="259"/>
      <c r="I40" s="259"/>
      <c r="J40" s="259"/>
      <c r="K40" s="259"/>
      <c r="L40" s="64"/>
      <c r="M40" s="64"/>
      <c r="N40" s="64"/>
      <c r="O40" s="64"/>
      <c r="P40" s="64"/>
      <c r="Q40" s="64"/>
      <c r="R40" s="64"/>
      <c r="S40" s="64"/>
      <c r="T40" s="64"/>
    </row>
    <row r="41" spans="1:20" ht="15.75" thickBot="1" x14ac:dyDescent="0.3">
      <c r="A41" s="64"/>
      <c r="B41" s="259"/>
      <c r="C41" s="259"/>
      <c r="D41" s="259"/>
      <c r="E41" s="259"/>
      <c r="F41" s="259"/>
      <c r="G41" s="191"/>
      <c r="H41" s="259"/>
      <c r="I41" s="259"/>
      <c r="J41" s="259"/>
      <c r="K41" s="259"/>
      <c r="L41" s="64"/>
      <c r="M41" s="64"/>
      <c r="N41" s="64"/>
      <c r="O41" s="64"/>
      <c r="P41" s="64"/>
      <c r="Q41" s="64"/>
      <c r="R41" s="64"/>
      <c r="S41" s="64"/>
      <c r="T41" s="64"/>
    </row>
    <row r="42" spans="1:20" ht="15.75" thickBot="1" x14ac:dyDescent="0.3">
      <c r="A42" s="64"/>
      <c r="B42" s="283" t="s">
        <v>250</v>
      </c>
      <c r="C42" s="284"/>
      <c r="D42" s="284"/>
      <c r="E42" s="284"/>
      <c r="F42" s="284"/>
      <c r="G42" s="285" t="str">
        <f>IF(G39="-","-",G36-G39)</f>
        <v>-</v>
      </c>
      <c r="H42" s="284" t="s">
        <v>14</v>
      </c>
      <c r="I42" s="291"/>
      <c r="J42" s="259"/>
      <c r="K42" s="259"/>
      <c r="L42" s="64"/>
      <c r="M42" s="64"/>
      <c r="N42" s="64"/>
      <c r="O42" s="64"/>
      <c r="P42" s="64"/>
      <c r="Q42" s="64"/>
      <c r="R42" s="64"/>
      <c r="S42" s="64"/>
      <c r="T42" s="64"/>
    </row>
    <row r="43" spans="1:20" x14ac:dyDescent="0.25">
      <c r="A43" s="64"/>
      <c r="B43" s="64"/>
      <c r="C43" s="64"/>
      <c r="D43" s="64"/>
      <c r="E43" s="64"/>
      <c r="F43" s="64"/>
      <c r="G43" s="64"/>
      <c r="H43" s="64"/>
      <c r="I43" s="64"/>
      <c r="J43" s="64"/>
      <c r="K43" s="64"/>
      <c r="L43" s="64"/>
      <c r="M43" s="64"/>
      <c r="N43" s="64"/>
      <c r="O43" s="64"/>
      <c r="P43" s="64"/>
      <c r="Q43" s="64"/>
      <c r="R43" s="64"/>
      <c r="S43" s="64"/>
      <c r="T43" s="64"/>
    </row>
    <row r="44" spans="1:20" x14ac:dyDescent="0.25">
      <c r="A44" s="64"/>
      <c r="B44" s="64"/>
      <c r="C44" s="64"/>
      <c r="D44" s="64"/>
      <c r="E44" s="64"/>
      <c r="F44" s="64"/>
      <c r="G44" s="64"/>
      <c r="H44" s="64"/>
      <c r="I44" s="64"/>
      <c r="J44" s="64"/>
      <c r="K44" s="64"/>
      <c r="L44" s="64"/>
      <c r="M44" s="64"/>
      <c r="N44" s="64"/>
      <c r="O44" s="64"/>
      <c r="P44" s="64"/>
      <c r="Q44" s="64"/>
      <c r="R44" s="64"/>
      <c r="S44" s="64"/>
      <c r="T44" s="64"/>
    </row>
  </sheetData>
  <sheetProtection algorithmName="SHA-512" hashValue="i6cJ9jDkQjzJo7nzoz/PJ9e/XO3ZNSp2cW4/2US/GjDwVNZ0wuJqts8GTfKL65UuPUSZgC5k948TVR6bKefM5g==" saltValue="JIWXSHl4uEHv4OJ6W/QQKw==" spinCount="100000" sheet="1" selectLockedCells="1"/>
  <mergeCells count="10">
    <mergeCell ref="B15:K15"/>
    <mergeCell ref="I17:J17"/>
    <mergeCell ref="I19:J19"/>
    <mergeCell ref="B34:K34"/>
    <mergeCell ref="I28:J28"/>
    <mergeCell ref="I29:J29"/>
    <mergeCell ref="I20:J20"/>
    <mergeCell ref="I21:J21"/>
    <mergeCell ref="I24:J24"/>
    <mergeCell ref="I25:J25"/>
  </mergeCell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2" id="{EC15D23E-1CB9-4416-AACF-0358D2454171}">
            <x14:iconSet iconSet="3Symbols2" custom="1">
              <x14:cfvo type="percent">
                <xm:f>0</xm:f>
              </x14:cfvo>
              <x14:cfvo type="num">
                <xm:f>-0.5</xm:f>
              </x14:cfvo>
              <x14:cfvo type="num">
                <xm:f>0.5</xm:f>
              </x14:cfvo>
              <x14:cfIcon iconSet="3Symbols2" iconId="0"/>
              <x14:cfIcon iconSet="3Symbols2" iconId="1"/>
              <x14:cfIcon iconSet="3Symbols2" iconId="2"/>
            </x14:iconSet>
          </x14:cfRule>
          <xm:sqref>L12</xm:sqref>
        </x14:conditionalFormatting>
        <x14:conditionalFormatting xmlns:xm="http://schemas.microsoft.com/office/excel/2006/main">
          <x14:cfRule type="iconSet" priority="190" id="{96438D19-9640-4AE8-8655-CCD0CD9DF1DE}">
            <x14:iconSet iconSet="3Symbols2" custom="1">
              <x14:cfvo type="percent">
                <xm:f>0</xm:f>
              </x14:cfvo>
              <x14:cfvo type="num">
                <xm:f>-0.5</xm:f>
              </x14:cfvo>
              <x14:cfvo type="num">
                <xm:f>0.5</xm:f>
              </x14:cfvo>
              <x14:cfIcon iconSet="3Symbols2" iconId="0"/>
              <x14:cfIcon iconSet="3Symbols2" iconId="1"/>
              <x14:cfIcon iconSet="3Symbols2" iconId="2"/>
            </x14:iconSet>
          </x14:cfRule>
          <xm:sqref>O8:O10</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0000000}">
          <x14:formula1>
            <xm:f>'Kyllinge - regneark'!$B$41:$C$41</xm:f>
          </x14:formula1>
          <xm:sqref>I17:J17</xm:sqref>
        </x14:dataValidation>
        <x14:dataValidation type="list" allowBlank="1" showInputMessage="1" showErrorMessage="1" xr:uid="{00000000-0002-0000-0500-000001000000}">
          <x14:formula1>
            <xm:f>'Kyllinge - regneark'!$P$41:$P$46</xm:f>
          </x14:formula1>
          <xm:sqref>I24:J24</xm:sqref>
        </x14:dataValidation>
        <x14:dataValidation type="list" allowBlank="1" showInputMessage="1" showErrorMessage="1" xr:uid="{00000000-0002-0000-0500-000002000000}">
          <x14:formula1>
            <xm:f>'Kyllinge - regneark'!$L$55:$L$60</xm:f>
          </x14:formula1>
          <xm:sqref>I28:J28</xm:sqref>
        </x14:dataValidation>
        <x14:dataValidation type="list" allowBlank="1" showInputMessage="1" showErrorMessage="1" xr:uid="{00000000-0002-0000-0500-000003000000}">
          <x14:formula1>
            <xm:f>'Kyllinge - regneark'!$B$25:$C$25</xm:f>
          </x14:formula1>
          <xm:sqref>N8:N10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3:T46"/>
  <sheetViews>
    <sheetView zoomScaleNormal="100" workbookViewId="0">
      <selection activeCell="I30" sqref="I30"/>
    </sheetView>
  </sheetViews>
  <sheetFormatPr defaultRowHeight="15" x14ac:dyDescent="0.25"/>
  <cols>
    <col min="2" max="2" width="42.85546875" customWidth="1"/>
    <col min="3" max="3" width="16.140625" customWidth="1"/>
    <col min="4" max="4" width="21.42578125" bestFit="1" customWidth="1"/>
    <col min="5" max="5" width="7.85546875" bestFit="1" customWidth="1"/>
    <col min="6" max="6" width="14.42578125" bestFit="1" customWidth="1"/>
    <col min="7" max="7" width="21.42578125" bestFit="1" customWidth="1"/>
    <col min="8" max="8" width="34.42578125" bestFit="1" customWidth="1"/>
    <col min="9" max="9" width="13.42578125" bestFit="1" customWidth="1"/>
    <col min="10" max="10" width="12.42578125" bestFit="1" customWidth="1"/>
    <col min="13" max="13" width="13.85546875" bestFit="1" customWidth="1"/>
    <col min="14" max="14" width="33.140625" bestFit="1" customWidth="1"/>
    <col min="15" max="15" width="15" bestFit="1" customWidth="1"/>
    <col min="16" max="16" width="13.85546875" bestFit="1" customWidth="1"/>
    <col min="17" max="17" width="19.140625" bestFit="1" customWidth="1"/>
    <col min="18" max="18" width="16.140625" bestFit="1" customWidth="1"/>
    <col min="19" max="19" width="13.28515625" bestFit="1" customWidth="1"/>
    <col min="20" max="20" width="10.7109375" bestFit="1" customWidth="1"/>
  </cols>
  <sheetData>
    <row r="3" spans="2:19" x14ac:dyDescent="0.25">
      <c r="B3" t="s">
        <v>198</v>
      </c>
      <c r="H3" t="s">
        <v>199</v>
      </c>
    </row>
    <row r="4" spans="2:19" x14ac:dyDescent="0.25">
      <c r="B4" t="s">
        <v>75</v>
      </c>
      <c r="H4" t="s">
        <v>76</v>
      </c>
    </row>
    <row r="5" spans="2:19" ht="15.75" thickBot="1" x14ac:dyDescent="0.3">
      <c r="B5" t="s">
        <v>82</v>
      </c>
      <c r="C5">
        <v>1</v>
      </c>
      <c r="D5">
        <v>2</v>
      </c>
      <c r="E5">
        <v>3</v>
      </c>
      <c r="H5" t="s">
        <v>82</v>
      </c>
      <c r="I5">
        <v>1</v>
      </c>
      <c r="J5">
        <v>2</v>
      </c>
      <c r="K5">
        <v>3</v>
      </c>
      <c r="N5" s="436" t="s">
        <v>32</v>
      </c>
      <c r="O5" s="437"/>
      <c r="P5" s="53"/>
      <c r="Q5" s="105" t="s">
        <v>16</v>
      </c>
      <c r="R5" s="106"/>
      <c r="S5" s="107"/>
    </row>
    <row r="6" spans="2:19" ht="15.75" thickBot="1" x14ac:dyDescent="0.3">
      <c r="B6" s="93" t="s">
        <v>65</v>
      </c>
      <c r="C6" s="94" t="s">
        <v>66</v>
      </c>
      <c r="D6" s="95" t="s">
        <v>67</v>
      </c>
      <c r="E6" s="94" t="s">
        <v>68</v>
      </c>
      <c r="H6" s="93" t="s">
        <v>65</v>
      </c>
      <c r="I6" s="94" t="s">
        <v>66</v>
      </c>
      <c r="J6" s="95" t="s">
        <v>67</v>
      </c>
      <c r="K6" s="94" t="s">
        <v>68</v>
      </c>
      <c r="M6" s="1" t="e">
        <f>#REF!</f>
        <v>#REF!</v>
      </c>
      <c r="N6" s="54" t="s">
        <v>0</v>
      </c>
      <c r="O6" s="55" t="e">
        <f>VLOOKUP(M6,Q31:S41,2,FALSE)</f>
        <v>#REF!</v>
      </c>
      <c r="P6" s="57"/>
      <c r="Q6" s="2" t="s">
        <v>17</v>
      </c>
      <c r="R6" s="2">
        <v>11</v>
      </c>
      <c r="S6" s="3" t="s">
        <v>18</v>
      </c>
    </row>
    <row r="7" spans="2:19" ht="15.75" thickBot="1" x14ac:dyDescent="0.3">
      <c r="B7" s="96" t="s">
        <v>69</v>
      </c>
      <c r="C7" s="97">
        <v>120</v>
      </c>
      <c r="D7" s="98">
        <v>97</v>
      </c>
      <c r="E7" s="99">
        <v>66</v>
      </c>
      <c r="H7" s="96" t="s">
        <v>69</v>
      </c>
      <c r="I7" s="97">
        <v>100</v>
      </c>
      <c r="J7" s="98">
        <v>81</v>
      </c>
      <c r="K7" s="99">
        <v>55</v>
      </c>
      <c r="N7" s="54" t="s">
        <v>21</v>
      </c>
      <c r="O7" s="55" t="e">
        <f>INDEX(R6:R13,MATCH(O6,Q6:Q13,0))</f>
        <v>#REF!</v>
      </c>
      <c r="P7" s="57" t="e">
        <f>IF(O6="Olie","kWh/Liter",IF(O6="Naturgas","kWh/Nm3","kWh/Kg"))</f>
        <v>#REF!</v>
      </c>
      <c r="Q7" s="2" t="s">
        <v>97</v>
      </c>
      <c r="R7" s="2">
        <v>9.8699999999999992</v>
      </c>
      <c r="S7" s="3" t="s">
        <v>19</v>
      </c>
    </row>
    <row r="8" spans="2:19" ht="15.75" thickBot="1" x14ac:dyDescent="0.3">
      <c r="B8" s="96" t="s">
        <v>70</v>
      </c>
      <c r="C8" s="97">
        <v>120</v>
      </c>
      <c r="D8" s="98">
        <v>97</v>
      </c>
      <c r="E8" s="99">
        <v>66</v>
      </c>
      <c r="H8" s="96" t="s">
        <v>70</v>
      </c>
      <c r="I8" s="97">
        <v>100</v>
      </c>
      <c r="J8" s="98">
        <v>81</v>
      </c>
      <c r="K8" s="99">
        <v>55</v>
      </c>
      <c r="N8" s="54"/>
      <c r="O8" s="55"/>
      <c r="P8" s="57"/>
      <c r="Q8" s="2" t="s">
        <v>98</v>
      </c>
      <c r="R8" s="151">
        <v>3.83</v>
      </c>
      <c r="S8" s="3" t="s">
        <v>20</v>
      </c>
    </row>
    <row r="9" spans="2:19" ht="15.75" thickBot="1" x14ac:dyDescent="0.3">
      <c r="B9" s="96" t="s">
        <v>71</v>
      </c>
      <c r="C9" s="97">
        <v>226</v>
      </c>
      <c r="D9" s="98">
        <v>195</v>
      </c>
      <c r="E9" s="99">
        <v>123</v>
      </c>
      <c r="H9" s="96" t="s">
        <v>71</v>
      </c>
      <c r="I9" s="97">
        <v>163</v>
      </c>
      <c r="J9" s="98">
        <v>140</v>
      </c>
      <c r="K9" s="99">
        <v>89</v>
      </c>
      <c r="N9" s="54" t="s">
        <v>22</v>
      </c>
      <c r="O9" s="55">
        <f>I21</f>
        <v>0</v>
      </c>
      <c r="P9" s="57" t="e">
        <f>IF(O6="Olie","Liter",IF(O6="Naturgas","Nm3","Kg"))</f>
        <v>#REF!</v>
      </c>
      <c r="Q9" s="2" t="s">
        <v>3</v>
      </c>
      <c r="R9" s="151">
        <v>4.67</v>
      </c>
      <c r="S9" s="3" t="s">
        <v>20</v>
      </c>
    </row>
    <row r="10" spans="2:19" ht="15.75" thickBot="1" x14ac:dyDescent="0.3">
      <c r="B10" s="96" t="s">
        <v>72</v>
      </c>
      <c r="C10" s="97">
        <v>126</v>
      </c>
      <c r="D10" s="98">
        <v>105</v>
      </c>
      <c r="E10" s="99">
        <v>77</v>
      </c>
      <c r="H10" s="96" t="s">
        <v>72</v>
      </c>
      <c r="I10" s="97">
        <v>103</v>
      </c>
      <c r="J10" s="98">
        <v>86</v>
      </c>
      <c r="K10" s="99">
        <v>63</v>
      </c>
      <c r="N10" s="54"/>
      <c r="O10" s="55"/>
      <c r="P10" s="57"/>
      <c r="Q10" s="2" t="s">
        <v>53</v>
      </c>
      <c r="R10" s="47">
        <f>V18</f>
        <v>0</v>
      </c>
      <c r="S10" s="3" t="s">
        <v>20</v>
      </c>
    </row>
    <row r="11" spans="2:19" ht="15.75" thickBot="1" x14ac:dyDescent="0.3">
      <c r="B11" s="96" t="s">
        <v>73</v>
      </c>
      <c r="C11" s="97">
        <v>126</v>
      </c>
      <c r="D11" s="98">
        <v>105</v>
      </c>
      <c r="E11" s="99">
        <v>77</v>
      </c>
      <c r="H11" s="96" t="s">
        <v>73</v>
      </c>
      <c r="I11" s="97">
        <v>103</v>
      </c>
      <c r="J11" s="98">
        <v>86</v>
      </c>
      <c r="K11" s="99">
        <v>63</v>
      </c>
      <c r="N11" s="54" t="s">
        <v>23</v>
      </c>
      <c r="O11" s="55" t="e">
        <f>I20</f>
        <v>#N/A</v>
      </c>
      <c r="P11" s="57" t="s">
        <v>25</v>
      </c>
      <c r="Q11" s="2" t="s">
        <v>54</v>
      </c>
      <c r="R11" s="2">
        <v>7.92</v>
      </c>
      <c r="S11" s="3" t="s">
        <v>20</v>
      </c>
    </row>
    <row r="12" spans="2:19" ht="15.75" thickBot="1" x14ac:dyDescent="0.3">
      <c r="B12" s="96" t="s">
        <v>74</v>
      </c>
      <c r="C12" s="97">
        <v>207</v>
      </c>
      <c r="D12" s="98">
        <v>103</v>
      </c>
      <c r="E12" s="99">
        <v>82</v>
      </c>
      <c r="H12" s="96" t="s">
        <v>74</v>
      </c>
      <c r="I12" s="97">
        <v>145</v>
      </c>
      <c r="J12" s="98">
        <v>72</v>
      </c>
      <c r="K12" s="99">
        <v>57</v>
      </c>
      <c r="N12" s="54"/>
      <c r="O12" s="55"/>
      <c r="P12" s="57"/>
      <c r="Q12" s="2" t="s">
        <v>56</v>
      </c>
      <c r="R12" s="2">
        <v>10.89</v>
      </c>
      <c r="S12" s="3" t="s">
        <v>19</v>
      </c>
    </row>
    <row r="13" spans="2:19" x14ac:dyDescent="0.25">
      <c r="B13" s="246" t="s">
        <v>258</v>
      </c>
      <c r="C13">
        <f>'Tiltag 1'!F19</f>
        <v>0</v>
      </c>
      <c r="H13" s="246" t="s">
        <v>258</v>
      </c>
      <c r="I13">
        <f>C13</f>
        <v>0</v>
      </c>
      <c r="N13" s="58" t="s">
        <v>24</v>
      </c>
      <c r="O13" s="59" t="e">
        <f>I18</f>
        <v>#N/A</v>
      </c>
      <c r="P13" s="60" t="s">
        <v>25</v>
      </c>
      <c r="Q13" s="4" t="s">
        <v>2</v>
      </c>
      <c r="R13" s="48">
        <f>14.5*1000/3600</f>
        <v>4.0277777777777777</v>
      </c>
      <c r="S13" s="5" t="s">
        <v>20</v>
      </c>
    </row>
    <row r="14" spans="2:19" x14ac:dyDescent="0.25">
      <c r="B14" s="100" t="s">
        <v>80</v>
      </c>
      <c r="C14">
        <f>IF(C17&lt;1960.1,C5,IF(AND(C17&gt;1960,C17&lt;1978.1),2,IF(C17&gt;1978.9,3)))</f>
        <v>1</v>
      </c>
      <c r="H14" s="100" t="s">
        <v>80</v>
      </c>
      <c r="I14">
        <f>IF(I17&lt;1960.1,I5,IF(AND(I17&gt;1960,I17&lt;1978.1),2,IF(I17&gt;1978,3)))</f>
        <v>1</v>
      </c>
      <c r="N14" s="1"/>
      <c r="O14" s="1"/>
      <c r="P14" s="1"/>
    </row>
    <row r="15" spans="2:19" x14ac:dyDescent="0.25">
      <c r="B15" s="100" t="s">
        <v>81</v>
      </c>
      <c r="C15" t="e">
        <f>INDEX(C7:E12,MATCH(C13,B7:B12,0),MATCH(C14,C5:E5))</f>
        <v>#N/A</v>
      </c>
      <c r="D15" t="s">
        <v>82</v>
      </c>
      <c r="H15" s="100" t="s">
        <v>81</v>
      </c>
      <c r="I15" t="e">
        <f>INDEX(I7:K12,MATCH(I13,H7:H12,0),MATCH(I14,I5:K5))</f>
        <v>#N/A</v>
      </c>
      <c r="J15" t="s">
        <v>82</v>
      </c>
      <c r="N15" s="1"/>
      <c r="O15" s="1"/>
      <c r="P15" s="1"/>
      <c r="Q15" s="1"/>
      <c r="R15" s="1"/>
      <c r="S15" s="1"/>
    </row>
    <row r="16" spans="2:19" x14ac:dyDescent="0.25">
      <c r="B16" s="100" t="s">
        <v>77</v>
      </c>
      <c r="C16" s="15">
        <f>'Tiltag 1'!F18</f>
        <v>0</v>
      </c>
      <c r="D16" t="s">
        <v>78</v>
      </c>
      <c r="E16" t="s">
        <v>8</v>
      </c>
      <c r="H16" s="100" t="s">
        <v>100</v>
      </c>
      <c r="I16" s="15">
        <f>'Tiltag 1'!F18</f>
        <v>0</v>
      </c>
      <c r="J16" t="s">
        <v>78</v>
      </c>
      <c r="K16" t="s">
        <v>8</v>
      </c>
      <c r="N16" s="436" t="s">
        <v>31</v>
      </c>
      <c r="O16" s="437"/>
      <c r="P16" s="53"/>
      <c r="Q16" s="1"/>
      <c r="R16" s="1"/>
      <c r="S16" s="1"/>
    </row>
    <row r="17" spans="2:20" x14ac:dyDescent="0.25">
      <c r="B17" s="100" t="s">
        <v>79</v>
      </c>
      <c r="C17" s="101">
        <f>'Tiltag 1'!F17</f>
        <v>0</v>
      </c>
      <c r="E17" t="s">
        <v>9</v>
      </c>
      <c r="H17" s="100" t="s">
        <v>79</v>
      </c>
      <c r="I17" s="15">
        <f>'Tiltag 1'!F17</f>
        <v>0</v>
      </c>
      <c r="K17" t="s">
        <v>9</v>
      </c>
      <c r="M17">
        <f>'Tiltag 1'!F29</f>
        <v>0</v>
      </c>
      <c r="N17" s="54" t="s">
        <v>0</v>
      </c>
      <c r="O17" s="55" t="e">
        <f>VLOOKUP(M17,Q31:S43,2,FALSE)</f>
        <v>#N/A</v>
      </c>
      <c r="P17" s="57"/>
      <c r="Q17" s="1"/>
      <c r="R17" s="1"/>
      <c r="S17" s="1"/>
    </row>
    <row r="18" spans="2:20" x14ac:dyDescent="0.25">
      <c r="B18" s="100" t="s">
        <v>24</v>
      </c>
      <c r="C18" t="e">
        <f>IF(OR(C14="",C15&lt;0.1,C16&lt;=0.1,C17&lt;=0.1),"",C15*C16)</f>
        <v>#N/A</v>
      </c>
      <c r="D18" t="s">
        <v>25</v>
      </c>
      <c r="H18" s="100" t="s">
        <v>104</v>
      </c>
      <c r="I18" t="e">
        <f>IF(OR(I14="",I15&lt;0.1,I16&lt;=0.1,I17&lt;=0.1),"",I15*I16)</f>
        <v>#N/A</v>
      </c>
      <c r="J18" t="s">
        <v>25</v>
      </c>
      <c r="N18" s="54" t="s">
        <v>21</v>
      </c>
      <c r="O18" s="55" t="e">
        <f>IF(O17="Varmepumpe","",IF(O17="Fjernvarme","",IF(O17="Elkedel","",INDEX(R6:R19,MATCH(O17,Q6:Q19,0)))))</f>
        <v>#N/A</v>
      </c>
      <c r="P18" s="57" t="e">
        <f>IF(O17="Olie","kWh/Liter",IF(O17="Naturgas","kWh/Nm3","kWh/Kg"))</f>
        <v>#N/A</v>
      </c>
      <c r="Q18" s="51" t="s">
        <v>34</v>
      </c>
      <c r="R18" s="1">
        <v>1</v>
      </c>
      <c r="S18" s="1"/>
    </row>
    <row r="19" spans="2:20" x14ac:dyDescent="0.25">
      <c r="N19" s="54"/>
      <c r="O19" s="55"/>
      <c r="P19" s="57"/>
      <c r="Q19" s="51" t="s">
        <v>35</v>
      </c>
      <c r="R19" s="1">
        <v>1</v>
      </c>
      <c r="S19" s="1"/>
    </row>
    <row r="20" spans="2:20" x14ac:dyDescent="0.25">
      <c r="B20" s="100" t="s">
        <v>103</v>
      </c>
      <c r="F20" t="s">
        <v>86</v>
      </c>
      <c r="G20" s="103">
        <f>C39</f>
        <v>0.8</v>
      </c>
      <c r="H20" s="100" t="s">
        <v>177</v>
      </c>
      <c r="I20" s="16" t="e">
        <f>I18/G20</f>
        <v>#N/A</v>
      </c>
      <c r="J20" t="s">
        <v>25</v>
      </c>
      <c r="L20" t="s">
        <v>86</v>
      </c>
      <c r="M20" s="102" t="e">
        <f>VLOOKUP('Tiltag 1'!F29,Nøgletal!B41:D46,2,FALSE)</f>
        <v>#N/A</v>
      </c>
      <c r="N20" s="54" t="s">
        <v>61</v>
      </c>
      <c r="O20" s="55" t="e">
        <f>O13</f>
        <v>#N/A</v>
      </c>
      <c r="P20" s="57" t="s">
        <v>25</v>
      </c>
      <c r="Q20" s="51" t="s">
        <v>52</v>
      </c>
      <c r="R20" s="1">
        <v>1</v>
      </c>
      <c r="S20" s="1"/>
    </row>
    <row r="21" spans="2:20" x14ac:dyDescent="0.25">
      <c r="B21" s="217" t="s">
        <v>216</v>
      </c>
      <c r="C21" s="16" t="e">
        <f>C18/G20</f>
        <v>#N/A</v>
      </c>
      <c r="H21" s="100"/>
      <c r="I21" s="17"/>
      <c r="N21" s="54"/>
      <c r="O21" s="55"/>
      <c r="P21" s="57"/>
      <c r="Q21" s="2" t="s">
        <v>17</v>
      </c>
      <c r="R21" s="1"/>
      <c r="S21" s="1"/>
    </row>
    <row r="22" spans="2:20" x14ac:dyDescent="0.25">
      <c r="B22" s="218" t="s">
        <v>217</v>
      </c>
      <c r="C22" t="e">
        <f>+C18/M20</f>
        <v>#N/A</v>
      </c>
      <c r="H22" s="218" t="s">
        <v>217</v>
      </c>
      <c r="I22" t="e">
        <f>+I18/M20</f>
        <v>#N/A</v>
      </c>
      <c r="N22" s="54" t="s">
        <v>107</v>
      </c>
      <c r="O22" s="55" t="e">
        <f>IF(O17="Varmepumpe",O20/O26,IF(O17="Fjernvarme",O20,IF(O17="Elkedel",O20,O20/(O39/100))))</f>
        <v>#N/A</v>
      </c>
      <c r="P22" s="57" t="s">
        <v>25</v>
      </c>
      <c r="Q22" s="2" t="s">
        <v>55</v>
      </c>
      <c r="R22" s="1"/>
      <c r="S22" s="1"/>
    </row>
    <row r="23" spans="2:20" x14ac:dyDescent="0.25">
      <c r="N23" s="54"/>
      <c r="O23" s="55"/>
      <c r="P23" s="57"/>
      <c r="Q23" s="2" t="s">
        <v>4</v>
      </c>
      <c r="R23" s="1"/>
      <c r="S23" s="1"/>
    </row>
    <row r="24" spans="2:20" x14ac:dyDescent="0.25">
      <c r="N24" s="54" t="s">
        <v>26</v>
      </c>
      <c r="O24" s="55" t="e">
        <f>IF(O17="Varmepumpe","",IF(O17="Fjernvarme","",IF(O17="Elkedel","",O22/O18)))</f>
        <v>#N/A</v>
      </c>
      <c r="P24" s="57" t="e">
        <f>IF(O17="Olie","Liter",IF(O17="Naturgas","Nm3","Kg"))</f>
        <v>#N/A</v>
      </c>
      <c r="Q24" s="2" t="s">
        <v>3</v>
      </c>
      <c r="R24" s="1"/>
      <c r="S24" s="1"/>
    </row>
    <row r="25" spans="2:20" x14ac:dyDescent="0.25">
      <c r="N25" s="54"/>
      <c r="O25" s="55"/>
      <c r="P25" s="57"/>
      <c r="Q25" s="2" t="s">
        <v>2</v>
      </c>
      <c r="R25" s="1"/>
      <c r="S25" s="1"/>
    </row>
    <row r="26" spans="2:20" x14ac:dyDescent="0.25">
      <c r="B26" t="s">
        <v>218</v>
      </c>
      <c r="C26" t="e">
        <f>IF('Tiltag 1'!F24=Nøgletal!I29,Nøgletal!C21,Nøgletal!I20)</f>
        <v>#N/A</v>
      </c>
      <c r="N26" s="58" t="s">
        <v>36</v>
      </c>
      <c r="O26" s="59" t="e">
        <f>IF(O17="Fjernvarme","",'Tiltag 1'!F33)</f>
        <v>#N/A</v>
      </c>
      <c r="P26" s="60"/>
      <c r="Q26" s="52" t="s">
        <v>56</v>
      </c>
      <c r="R26" s="1"/>
      <c r="S26" s="1"/>
    </row>
    <row r="27" spans="2:20" x14ac:dyDescent="0.25">
      <c r="B27" t="s">
        <v>219</v>
      </c>
      <c r="C27" t="e">
        <f>C26*G20/M20</f>
        <v>#N/A</v>
      </c>
      <c r="N27" s="1"/>
      <c r="O27" s="1"/>
      <c r="P27" s="1"/>
      <c r="Q27" s="2" t="s">
        <v>53</v>
      </c>
      <c r="R27" s="1"/>
      <c r="S27" s="1"/>
    </row>
    <row r="28" spans="2:20" x14ac:dyDescent="0.25">
      <c r="N28" s="436" t="s">
        <v>27</v>
      </c>
      <c r="O28" s="437"/>
      <c r="P28" s="53"/>
      <c r="Q28" s="2" t="s">
        <v>54</v>
      </c>
      <c r="R28" s="1"/>
      <c r="S28" s="1"/>
    </row>
    <row r="29" spans="2:20" ht="15.75" thickBot="1" x14ac:dyDescent="0.3">
      <c r="I29" t="s">
        <v>8</v>
      </c>
      <c r="N29" s="54" t="s">
        <v>29</v>
      </c>
      <c r="O29" s="55" t="e">
        <f>M6</f>
        <v>#REF!</v>
      </c>
      <c r="P29" s="57"/>
      <c r="Q29" s="1"/>
      <c r="R29" s="1"/>
      <c r="S29" s="1"/>
    </row>
    <row r="30" spans="2:20" x14ac:dyDescent="0.25">
      <c r="F30" s="223" t="s">
        <v>225</v>
      </c>
      <c r="G30" s="224" t="s">
        <v>96</v>
      </c>
      <c r="I30" t="s">
        <v>9</v>
      </c>
      <c r="N30" s="54" t="s">
        <v>21</v>
      </c>
      <c r="O30" s="55" t="e">
        <f>INDEX(R6:R12,MATCH(O6,Q6:Q12,0))</f>
        <v>#REF!</v>
      </c>
      <c r="P30" s="57" t="e">
        <f>IF(O29="Fyringsolie","kWh/Liter",IF(O29="Naturgas","kWh/Nm3","kWh/Kg"))</f>
        <v>#REF!</v>
      </c>
      <c r="Q30" s="104" t="s">
        <v>95</v>
      </c>
      <c r="R30" s="1" t="s">
        <v>96</v>
      </c>
      <c r="S30" s="1"/>
    </row>
    <row r="31" spans="2:20" ht="15.75" thickBot="1" x14ac:dyDescent="0.3">
      <c r="B31" t="s">
        <v>205</v>
      </c>
      <c r="F31" s="225" t="s">
        <v>17</v>
      </c>
      <c r="G31" s="226" t="s">
        <v>17</v>
      </c>
      <c r="N31" s="54"/>
      <c r="O31" s="55"/>
      <c r="P31" s="57"/>
      <c r="Q31" s="1" t="s">
        <v>87</v>
      </c>
      <c r="R31" s="1" t="s">
        <v>17</v>
      </c>
      <c r="S31" s="1" t="s">
        <v>17</v>
      </c>
      <c r="T31" s="111" t="s">
        <v>106</v>
      </c>
    </row>
    <row r="32" spans="2:20" ht="15.75" thickBot="1" x14ac:dyDescent="0.3">
      <c r="B32" s="197" t="s">
        <v>17</v>
      </c>
      <c r="C32" s="198">
        <v>0.8</v>
      </c>
      <c r="D32" s="213" t="s">
        <v>212</v>
      </c>
      <c r="F32" s="225" t="s">
        <v>226</v>
      </c>
      <c r="G32" s="226" t="s">
        <v>226</v>
      </c>
      <c r="N32" s="54" t="s">
        <v>1</v>
      </c>
      <c r="O32" s="55">
        <f>'Tiltag 1'!F23</f>
        <v>0</v>
      </c>
      <c r="P32" s="57" t="s">
        <v>11</v>
      </c>
      <c r="Q32" s="1" t="s">
        <v>88</v>
      </c>
      <c r="R32" s="1" t="s">
        <v>97</v>
      </c>
      <c r="S32" s="1" t="s">
        <v>5</v>
      </c>
      <c r="T32" s="111" t="s">
        <v>106</v>
      </c>
    </row>
    <row r="33" spans="2:20" ht="15.75" thickBot="1" x14ac:dyDescent="0.3">
      <c r="B33" s="199" t="s">
        <v>207</v>
      </c>
      <c r="C33" s="200">
        <v>0.9</v>
      </c>
      <c r="D33" s="213" t="s">
        <v>212</v>
      </c>
      <c r="F33" s="225" t="s">
        <v>5</v>
      </c>
      <c r="G33" s="226" t="s">
        <v>97</v>
      </c>
      <c r="N33" s="54" t="s">
        <v>62</v>
      </c>
      <c r="O33" s="55">
        <f>O32*8760</f>
        <v>0</v>
      </c>
      <c r="P33" s="57" t="s">
        <v>25</v>
      </c>
      <c r="Q33" s="1" t="s">
        <v>89</v>
      </c>
      <c r="R33" s="1" t="s">
        <v>98</v>
      </c>
      <c r="S33" s="1" t="s">
        <v>4</v>
      </c>
      <c r="T33" s="111" t="s">
        <v>106</v>
      </c>
    </row>
    <row r="34" spans="2:20" ht="15.75" thickBot="1" x14ac:dyDescent="0.3">
      <c r="B34" s="199" t="s">
        <v>5</v>
      </c>
      <c r="C34" s="201">
        <v>0.8</v>
      </c>
      <c r="D34" s="213" t="s">
        <v>213</v>
      </c>
      <c r="F34" s="225" t="s">
        <v>214</v>
      </c>
      <c r="G34" s="226" t="s">
        <v>214</v>
      </c>
      <c r="N34" s="58" t="s">
        <v>63</v>
      </c>
      <c r="O34" s="59" t="e">
        <f>O33/O30</f>
        <v>#REF!</v>
      </c>
      <c r="P34" s="60" t="e">
        <f>IF(O29="Fyringsolie","Liter",IF(O29="Naturgas","Nm3","Kg"))</f>
        <v>#REF!</v>
      </c>
      <c r="Q34" s="1" t="s">
        <v>90</v>
      </c>
      <c r="R34" s="1" t="s">
        <v>3</v>
      </c>
      <c r="S34" s="1" t="s">
        <v>3</v>
      </c>
      <c r="T34" s="111" t="s">
        <v>106</v>
      </c>
    </row>
    <row r="35" spans="2:20" ht="30.75" thickBot="1" x14ac:dyDescent="0.3">
      <c r="B35" s="199" t="s">
        <v>269</v>
      </c>
      <c r="C35" s="201">
        <v>0.8</v>
      </c>
      <c r="D35" s="213" t="s">
        <v>214</v>
      </c>
      <c r="F35" t="s">
        <v>184</v>
      </c>
      <c r="G35" t="s">
        <v>184</v>
      </c>
      <c r="N35" s="1"/>
      <c r="O35" s="1"/>
      <c r="P35" s="1"/>
      <c r="Q35" s="1" t="s">
        <v>91</v>
      </c>
      <c r="R35" s="1" t="s">
        <v>53</v>
      </c>
      <c r="S35" s="1" t="s">
        <v>38</v>
      </c>
      <c r="T35" s="111" t="s">
        <v>106</v>
      </c>
    </row>
    <row r="36" spans="2:20" ht="15.75" thickBot="1" x14ac:dyDescent="0.3">
      <c r="B36" s="199" t="s">
        <v>270</v>
      </c>
      <c r="C36" s="201">
        <v>0.9</v>
      </c>
      <c r="D36" s="213" t="s">
        <v>214</v>
      </c>
      <c r="F36" s="227" t="s">
        <v>2</v>
      </c>
      <c r="G36" s="228" t="s">
        <v>2</v>
      </c>
      <c r="N36" s="436" t="s">
        <v>37</v>
      </c>
      <c r="O36" s="437"/>
      <c r="P36" s="53"/>
      <c r="Q36" s="1" t="s">
        <v>92</v>
      </c>
      <c r="R36" s="1" t="s">
        <v>54</v>
      </c>
      <c r="S36" s="1" t="s">
        <v>38</v>
      </c>
      <c r="T36" s="111" t="s">
        <v>106</v>
      </c>
    </row>
    <row r="37" spans="2:20" ht="15.75" thickBot="1" x14ac:dyDescent="0.3">
      <c r="B37" s="199" t="s">
        <v>2</v>
      </c>
      <c r="C37" s="201">
        <v>0.7</v>
      </c>
      <c r="D37" s="213" t="s">
        <v>2</v>
      </c>
      <c r="F37" s="225"/>
      <c r="G37" s="226"/>
      <c r="N37" s="54" t="s">
        <v>30</v>
      </c>
      <c r="O37" s="55">
        <f>'Tiltag 1'!F31</f>
        <v>0</v>
      </c>
      <c r="P37" s="56" t="s">
        <v>12</v>
      </c>
      <c r="Q37" s="1" t="s">
        <v>93</v>
      </c>
      <c r="R37" s="1" t="s">
        <v>99</v>
      </c>
      <c r="S37" s="1" t="s">
        <v>5</v>
      </c>
      <c r="T37" s="111" t="s">
        <v>106</v>
      </c>
    </row>
    <row r="38" spans="2:20" x14ac:dyDescent="0.25">
      <c r="N38" s="54" t="s">
        <v>28</v>
      </c>
      <c r="O38" s="55">
        <f>'Tiltag 1'!F30</f>
        <v>0</v>
      </c>
      <c r="P38" s="57" t="s">
        <v>11</v>
      </c>
      <c r="Q38" s="1" t="s">
        <v>83</v>
      </c>
      <c r="R38" s="1" t="s">
        <v>17</v>
      </c>
      <c r="S38" s="1" t="s">
        <v>17</v>
      </c>
      <c r="T38" s="111" t="s">
        <v>200</v>
      </c>
    </row>
    <row r="39" spans="2:20" x14ac:dyDescent="0.25">
      <c r="C39" s="235">
        <f>IF(AND('Tiltag 1'!F23&gt;999.999,OR('Tiltag 1'!F22=F30,'Tiltag 1'!F22=F31,'Tiltag 1'!F22=F32,'Tiltag 1'!F22=F35,'Tiltag 1'!F22=F34)),C33,IF('Tiltag 1'!F22=F36,C37,0.8))</f>
        <v>0.8</v>
      </c>
      <c r="N39" s="58" t="s">
        <v>33</v>
      </c>
      <c r="O39" s="59" t="e">
        <f>IF(O17="Varmepumpe","",IF(O17="Fjernvarme","",IF(O17="Elkedel","",O37*(0.0043*LN(O38)+0.93))))</f>
        <v>#N/A</v>
      </c>
      <c r="P39" s="60" t="s">
        <v>12</v>
      </c>
      <c r="Q39" s="1" t="s">
        <v>84</v>
      </c>
      <c r="R39" s="1" t="s">
        <v>97</v>
      </c>
      <c r="S39" s="1" t="s">
        <v>5</v>
      </c>
      <c r="T39" s="111" t="s">
        <v>200</v>
      </c>
    </row>
    <row r="40" spans="2:20" ht="15.75" thickBot="1" x14ac:dyDescent="0.3">
      <c r="B40" s="215" t="s">
        <v>211</v>
      </c>
      <c r="N40" s="1"/>
      <c r="O40" s="1"/>
      <c r="P40" s="1"/>
      <c r="Q40" s="1" t="s">
        <v>85</v>
      </c>
      <c r="R40" s="1" t="s">
        <v>17</v>
      </c>
      <c r="S40" s="1" t="s">
        <v>17</v>
      </c>
    </row>
    <row r="41" spans="2:20" ht="15.75" thickBot="1" x14ac:dyDescent="0.3">
      <c r="B41" s="197" t="s">
        <v>89</v>
      </c>
      <c r="C41" s="202">
        <v>0.97</v>
      </c>
      <c r="D41" t="s">
        <v>184</v>
      </c>
      <c r="N41" s="1"/>
      <c r="O41" s="1"/>
      <c r="P41" s="1"/>
      <c r="Q41" s="1" t="s">
        <v>94</v>
      </c>
      <c r="R41" s="1" t="s">
        <v>2</v>
      </c>
      <c r="S41" s="1" t="s">
        <v>2</v>
      </c>
      <c r="T41" s="1" t="s">
        <v>106</v>
      </c>
    </row>
    <row r="42" spans="2:20" ht="15.75" thickBot="1" x14ac:dyDescent="0.3">
      <c r="B42" s="199" t="s">
        <v>90</v>
      </c>
      <c r="C42" s="201">
        <v>0.96</v>
      </c>
      <c r="D42" s="213" t="s">
        <v>214</v>
      </c>
      <c r="N42" s="1"/>
      <c r="O42" s="1"/>
      <c r="P42" s="1"/>
      <c r="Q42" s="111" t="s">
        <v>34</v>
      </c>
      <c r="R42" s="1" t="s">
        <v>34</v>
      </c>
      <c r="S42" s="1" t="s">
        <v>105</v>
      </c>
    </row>
    <row r="43" spans="2:20" ht="15.75" thickBot="1" x14ac:dyDescent="0.3">
      <c r="B43" s="199" t="s">
        <v>94</v>
      </c>
      <c r="C43" s="201">
        <v>0.88</v>
      </c>
      <c r="D43" s="213" t="s">
        <v>2</v>
      </c>
      <c r="N43" s="1" t="s">
        <v>60</v>
      </c>
      <c r="O43" s="1" t="e">
        <f>IF(OR(#REF!="Elkedel",#REF!="Varmepumpe"),"Elektricitet",#REF!)</f>
        <v>#REF!</v>
      </c>
      <c r="P43" s="1"/>
      <c r="Q43" s="1" t="s">
        <v>35</v>
      </c>
      <c r="R43" s="1" t="s">
        <v>35</v>
      </c>
      <c r="S43" s="1" t="s">
        <v>35</v>
      </c>
    </row>
    <row r="44" spans="2:20" ht="15.75" thickBot="1" x14ac:dyDescent="0.3">
      <c r="B44" s="199" t="s">
        <v>52</v>
      </c>
      <c r="C44" s="201">
        <v>1</v>
      </c>
      <c r="D44" s="213" t="s">
        <v>105</v>
      </c>
      <c r="N44" s="1" t="s">
        <v>57</v>
      </c>
      <c r="O44" s="1" t="e">
        <f>IF(#REF!="Fyringsolie","Gas-/dieselolie",IF(#REF!="Heavy Fuel Oil","Fuelolie",IF(#REF!="Flis","Skovflis",#REF!)))</f>
        <v>#REF!</v>
      </c>
      <c r="P44" s="1"/>
      <c r="Q44" s="1" t="str">
        <f>IFERROR(VLOOKUP('Tiltag 1'!F29,Q31:T41,4,FALSE),"")</f>
        <v/>
      </c>
      <c r="R44" s="1"/>
      <c r="S44" s="1"/>
    </row>
    <row r="45" spans="2:20" ht="15.75" thickBot="1" x14ac:dyDescent="0.3">
      <c r="B45" s="199" t="s">
        <v>35</v>
      </c>
      <c r="C45" s="201">
        <v>1</v>
      </c>
      <c r="D45" s="213" t="s">
        <v>35</v>
      </c>
      <c r="N45" s="1" t="s">
        <v>58</v>
      </c>
      <c r="O45" s="1" t="e">
        <f>IF(#REF!="Fyringsolie","Gas-/dieselolie",IF(#REF!="Flis","Skovflis",IF(OR(#REF!="Elkedel",#REF!="Varmepumpe"),"Elektricitet",#REF!)))</f>
        <v>#REF!</v>
      </c>
      <c r="P45" s="1"/>
      <c r="Q45" s="1"/>
      <c r="R45" s="1"/>
      <c r="S45" s="1"/>
    </row>
    <row r="46" spans="2:20" ht="15.75" thickBot="1" x14ac:dyDescent="0.3">
      <c r="B46" s="199" t="s">
        <v>34</v>
      </c>
      <c r="C46" s="216">
        <v>3.5</v>
      </c>
      <c r="D46" s="213" t="s">
        <v>105</v>
      </c>
    </row>
  </sheetData>
  <mergeCells count="4">
    <mergeCell ref="N5:O5"/>
    <mergeCell ref="N16:O16"/>
    <mergeCell ref="N28:O28"/>
    <mergeCell ref="N36:O3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dimension ref="A1:V68"/>
  <sheetViews>
    <sheetView topLeftCell="A29" zoomScale="85" zoomScaleNormal="85" workbookViewId="0">
      <selection activeCell="O55" sqref="O55"/>
    </sheetView>
  </sheetViews>
  <sheetFormatPr defaultRowHeight="15" x14ac:dyDescent="0.25"/>
  <cols>
    <col min="1" max="1" width="29.5703125" customWidth="1"/>
    <col min="2" max="3" width="13.85546875" customWidth="1"/>
    <col min="4" max="4" width="11.140625" customWidth="1"/>
    <col min="7" max="7" width="14.85546875" customWidth="1"/>
    <col min="8" max="8" width="13.85546875" customWidth="1"/>
    <col min="11" max="11" width="10.140625" bestFit="1" customWidth="1"/>
    <col min="12" max="12" width="16.7109375" customWidth="1"/>
    <col min="13" max="13" width="22.140625" customWidth="1"/>
    <col min="14" max="14" width="43.5703125" bestFit="1" customWidth="1"/>
    <col min="15" max="15" width="29.5703125" customWidth="1"/>
    <col min="16" max="16" width="21.42578125" bestFit="1" customWidth="1"/>
    <col min="18" max="18" width="14.42578125" bestFit="1" customWidth="1"/>
    <col min="19" max="19" width="21.42578125" bestFit="1" customWidth="1"/>
    <col min="20" max="20" width="17.42578125" customWidth="1"/>
    <col min="21" max="21" width="25.5703125" bestFit="1" customWidth="1"/>
    <col min="22" max="22" width="9.5703125" bestFit="1" customWidth="1"/>
  </cols>
  <sheetData>
    <row r="1" spans="1:22" ht="18.75" x14ac:dyDescent="0.3">
      <c r="A1" s="439" t="s">
        <v>116</v>
      </c>
      <c r="B1" s="439"/>
      <c r="C1" s="439"/>
    </row>
    <row r="3" spans="1:22" ht="15.75" x14ac:dyDescent="0.25">
      <c r="A3" s="119" t="s">
        <v>117</v>
      </c>
    </row>
    <row r="4" spans="1:22" x14ac:dyDescent="0.25">
      <c r="A4" s="120" t="s">
        <v>118</v>
      </c>
      <c r="M4" s="121"/>
      <c r="O4" s="121"/>
    </row>
    <row r="5" spans="1:22" x14ac:dyDescent="0.25">
      <c r="A5" s="122" t="s">
        <v>119</v>
      </c>
    </row>
    <row r="6" spans="1:22" x14ac:dyDescent="0.25">
      <c r="A6" s="123" t="s">
        <v>120</v>
      </c>
    </row>
    <row r="8" spans="1:22" x14ac:dyDescent="0.25">
      <c r="H8" s="124" t="s">
        <v>121</v>
      </c>
    </row>
    <row r="9" spans="1:22" x14ac:dyDescent="0.25">
      <c r="A9" s="124" t="s">
        <v>122</v>
      </c>
      <c r="B9" s="440" t="s">
        <v>123</v>
      </c>
      <c r="C9" s="440"/>
      <c r="D9" s="125"/>
    </row>
    <row r="10" spans="1:22" ht="18" customHeight="1" x14ac:dyDescent="0.25">
      <c r="A10" t="s">
        <v>124</v>
      </c>
      <c r="B10" s="126" t="s">
        <v>8</v>
      </c>
      <c r="C10" s="126" t="s">
        <v>9</v>
      </c>
      <c r="G10" t="s">
        <v>258</v>
      </c>
      <c r="H10" s="305" t="s">
        <v>125</v>
      </c>
      <c r="I10" s="306"/>
      <c r="J10" s="306"/>
      <c r="K10" s="306" t="s">
        <v>257</v>
      </c>
      <c r="L10" s="306" t="s">
        <v>260</v>
      </c>
      <c r="M10" s="306" t="s">
        <v>261</v>
      </c>
      <c r="N10" s="441" t="s">
        <v>252</v>
      </c>
      <c r="O10" s="441"/>
      <c r="P10" s="441" t="s">
        <v>253</v>
      </c>
      <c r="Q10" s="441"/>
      <c r="R10" s="441" t="s">
        <v>189</v>
      </c>
      <c r="S10" s="441"/>
      <c r="T10" s="245" t="s">
        <v>256</v>
      </c>
      <c r="U10" s="307" t="s">
        <v>262</v>
      </c>
      <c r="V10" s="306"/>
    </row>
    <row r="11" spans="1:22" ht="24.75" customHeight="1" x14ac:dyDescent="0.25">
      <c r="B11" s="126"/>
      <c r="C11" s="126"/>
      <c r="G11" t="s">
        <v>131</v>
      </c>
      <c r="H11" s="308" t="str">
        <f>B19</f>
        <v>Søer,gylte og orner</v>
      </c>
      <c r="I11" s="309">
        <v>1</v>
      </c>
      <c r="J11" s="306"/>
      <c r="K11" s="306">
        <f>IFERROR(VLOOKUP(N11,$G$11:$I$13,3,FALSE),0)</f>
        <v>0</v>
      </c>
      <c r="L11" s="306">
        <f>IFERROR(VLOOKUP(N11,$U$20:$V$25,2,FALSE),0)</f>
        <v>0</v>
      </c>
      <c r="M11" s="306">
        <f>IFERROR(VLOOKUP(N11,$U$32:$V$37,2,FALSE),0)</f>
        <v>0</v>
      </c>
      <c r="N11" s="442">
        <f>'Tiltag 2'!I19</f>
        <v>0</v>
      </c>
      <c r="O11" s="442"/>
      <c r="P11" s="442">
        <f>'Tiltag 2'!K19</f>
        <v>0</v>
      </c>
      <c r="Q11" s="442"/>
      <c r="R11" s="442" t="b">
        <f>IF('Tiltag 2'!I16=$C$13,P11*K11,IF('Tiltag 2'!I16=$B$13,P11))</f>
        <v>0</v>
      </c>
      <c r="S11" s="442"/>
      <c r="T11" s="310">
        <f>R11*L11</f>
        <v>0</v>
      </c>
      <c r="U11" s="311">
        <f>R11*M11</f>
        <v>0</v>
      </c>
      <c r="V11" s="306"/>
    </row>
    <row r="12" spans="1:22" x14ac:dyDescent="0.25">
      <c r="A12" s="124" t="s">
        <v>126</v>
      </c>
      <c r="B12" s="440" t="s">
        <v>123</v>
      </c>
      <c r="C12" s="440"/>
      <c r="G12" t="s">
        <v>132</v>
      </c>
      <c r="H12" s="308" t="str">
        <f>C19</f>
        <v>Svin o. 30 kg</v>
      </c>
      <c r="I12" s="309">
        <v>4.1399999999999997</v>
      </c>
      <c r="J12" s="312">
        <v>3.7</v>
      </c>
      <c r="K12" s="306">
        <f>IFERROR(VLOOKUP(N12,$G$11:$I$13,3,FALSE),0)</f>
        <v>0</v>
      </c>
      <c r="L12" s="306">
        <f>IFERROR(VLOOKUP(N12,$U$20:$V$25,2,FALSE),0)</f>
        <v>0</v>
      </c>
      <c r="M12" s="306">
        <f>IFERROR(VLOOKUP(N12,$U$32:$V$37,2,FALSE),0)</f>
        <v>0</v>
      </c>
      <c r="N12" s="442">
        <f>'Tiltag 2'!I20</f>
        <v>0</v>
      </c>
      <c r="O12" s="442"/>
      <c r="P12" s="442">
        <f>'Tiltag 2'!K20</f>
        <v>0</v>
      </c>
      <c r="Q12" s="442"/>
      <c r="R12" s="442" t="b">
        <f>IF('Tiltag 2'!I16=$C$13,P12*K12,IF('Tiltag 2'!I16=$B$13,P12))</f>
        <v>0</v>
      </c>
      <c r="S12" s="442"/>
      <c r="T12" s="310">
        <f t="shared" ref="T12" si="0">R12*L12</f>
        <v>0</v>
      </c>
      <c r="U12" s="311">
        <f t="shared" ref="U12:U13" si="1">R12*M12</f>
        <v>0</v>
      </c>
      <c r="V12" s="306"/>
    </row>
    <row r="13" spans="1:22" ht="30" x14ac:dyDescent="0.25">
      <c r="A13" s="129" t="s">
        <v>127</v>
      </c>
      <c r="B13" s="126" t="s">
        <v>128</v>
      </c>
      <c r="C13" s="126" t="s">
        <v>129</v>
      </c>
      <c r="G13" t="s">
        <v>133</v>
      </c>
      <c r="H13" s="308" t="str">
        <f>D19</f>
        <v>Smågrise 7-30 kg</v>
      </c>
      <c r="I13" s="309">
        <v>6.65</v>
      </c>
      <c r="J13" s="312">
        <v>5.9</v>
      </c>
      <c r="K13" s="306">
        <f>IFERROR(VLOOKUP(N13,$G$11:$I$13,3,FALSE),0)</f>
        <v>0</v>
      </c>
      <c r="L13" s="306">
        <f>IFERROR(VLOOKUP(N13,$U$20:$V$25,2,FALSE),0)</f>
        <v>0</v>
      </c>
      <c r="M13" s="306">
        <f>IFERROR(VLOOKUP(N13,$U$32:$V$37,2,FALSE),0)</f>
        <v>0</v>
      </c>
      <c r="N13" s="442">
        <f>'Tiltag 2'!I21</f>
        <v>0</v>
      </c>
      <c r="O13" s="442"/>
      <c r="P13" s="442">
        <f>'Tiltag 2'!K21</f>
        <v>0</v>
      </c>
      <c r="Q13" s="442"/>
      <c r="R13" s="442" t="b">
        <f>IF('Tiltag 2'!I16=$C$13,P13*K13,IF('Tiltag 2'!I16=$B$13,P13))</f>
        <v>0</v>
      </c>
      <c r="S13" s="442"/>
      <c r="T13" s="310">
        <f>R13*L13</f>
        <v>0</v>
      </c>
      <c r="U13" s="311">
        <f t="shared" si="1"/>
        <v>0</v>
      </c>
      <c r="V13" s="306"/>
    </row>
    <row r="14" spans="1:22" x14ac:dyDescent="0.25">
      <c r="B14" s="130"/>
      <c r="C14" s="130"/>
      <c r="H14" s="306"/>
      <c r="I14" s="309"/>
      <c r="J14" s="306"/>
      <c r="K14" s="306"/>
      <c r="L14" s="306"/>
      <c r="M14" s="306"/>
      <c r="N14" s="313"/>
      <c r="O14" s="313"/>
      <c r="P14" s="449"/>
      <c r="Q14" s="449"/>
      <c r="R14" s="450" t="e">
        <f>IF(T7='Grise - regneark'!M3,SUM(#REF!),"")</f>
        <v>#REF!</v>
      </c>
      <c r="S14" s="450"/>
      <c r="T14" s="244">
        <f>SUM(T11:T13)</f>
        <v>0</v>
      </c>
      <c r="U14" s="314">
        <f>SUM(U11:U13)</f>
        <v>0</v>
      </c>
      <c r="V14" s="315">
        <f>SUM(T14:U14)</f>
        <v>0</v>
      </c>
    </row>
    <row r="15" spans="1:22" x14ac:dyDescent="0.25">
      <c r="A15" s="131" t="s">
        <v>130</v>
      </c>
      <c r="B15" s="440" t="s">
        <v>123</v>
      </c>
      <c r="C15" s="440"/>
      <c r="H15" s="306" t="s">
        <v>254</v>
      </c>
      <c r="I15" s="306"/>
      <c r="J15" s="306"/>
      <c r="K15" s="306"/>
      <c r="L15" s="306"/>
      <c r="M15" s="306"/>
      <c r="N15" s="306"/>
      <c r="O15" s="306"/>
      <c r="P15" s="306"/>
      <c r="Q15" s="306"/>
      <c r="R15" s="306"/>
      <c r="S15" s="306"/>
      <c r="T15" s="306"/>
      <c r="U15" s="306"/>
      <c r="V15" s="306"/>
    </row>
    <row r="16" spans="1:22" ht="30" x14ac:dyDescent="0.25">
      <c r="B16" s="132" t="s">
        <v>131</v>
      </c>
      <c r="C16" s="132" t="s">
        <v>132</v>
      </c>
      <c r="D16" s="132" t="s">
        <v>133</v>
      </c>
      <c r="H16" s="306"/>
      <c r="I16" s="306"/>
      <c r="J16" s="306"/>
      <c r="K16" s="306"/>
      <c r="L16" s="306"/>
      <c r="M16" s="306" t="s">
        <v>267</v>
      </c>
      <c r="N16" s="306" t="s">
        <v>264</v>
      </c>
      <c r="O16" s="316" t="s">
        <v>265</v>
      </c>
      <c r="P16" s="306" t="s">
        <v>266</v>
      </c>
      <c r="Q16" s="306"/>
      <c r="R16" s="306"/>
      <c r="S16" s="306"/>
      <c r="T16" s="306"/>
      <c r="U16" s="306"/>
      <c r="V16" s="306"/>
    </row>
    <row r="17" spans="1:22" x14ac:dyDescent="0.25">
      <c r="B17" s="126"/>
      <c r="C17" s="126"/>
      <c r="D17" s="132"/>
      <c r="H17" s="306"/>
      <c r="I17" s="306"/>
      <c r="J17" s="306"/>
      <c r="K17" s="306"/>
      <c r="L17" s="306" t="s">
        <v>218</v>
      </c>
      <c r="M17" s="306">
        <f>T14/O50/1000</f>
        <v>0</v>
      </c>
      <c r="N17" s="317">
        <f>U14/1000</f>
        <v>0</v>
      </c>
      <c r="O17" s="306">
        <f>(N17/O50+M17)</f>
        <v>0</v>
      </c>
      <c r="P17" s="306">
        <f>SUM(M17:N17)</f>
        <v>0</v>
      </c>
      <c r="Q17" s="306"/>
      <c r="R17" s="306"/>
      <c r="S17" s="306"/>
      <c r="T17" s="306"/>
      <c r="U17" s="306"/>
      <c r="V17" s="306"/>
    </row>
    <row r="18" spans="1:22" x14ac:dyDescent="0.25">
      <c r="A18" s="131" t="s">
        <v>134</v>
      </c>
      <c r="B18" s="440" t="s">
        <v>123</v>
      </c>
      <c r="C18" s="440"/>
      <c r="D18" s="132"/>
      <c r="H18" s="306"/>
      <c r="I18" s="306"/>
      <c r="J18" s="306"/>
      <c r="K18" s="306"/>
      <c r="L18" s="306" t="s">
        <v>219</v>
      </c>
      <c r="M18" s="306" t="e">
        <f>M17*O50/O59</f>
        <v>#N/A</v>
      </c>
      <c r="N18" s="306" t="e">
        <f>N17/O59</f>
        <v>#N/A</v>
      </c>
      <c r="O18" s="306" t="e">
        <f>O17*O50/O59</f>
        <v>#N/A</v>
      </c>
      <c r="P18" s="306"/>
      <c r="Q18" s="306"/>
      <c r="R18" s="306"/>
      <c r="S18" s="306"/>
      <c r="T18" s="306"/>
      <c r="U18" s="306"/>
      <c r="V18" s="306"/>
    </row>
    <row r="19" spans="1:22" ht="30.75" thickBot="1" x14ac:dyDescent="0.3">
      <c r="B19" s="128" t="s">
        <v>135</v>
      </c>
      <c r="C19" s="126" t="s">
        <v>136</v>
      </c>
      <c r="D19" s="128" t="s">
        <v>137</v>
      </c>
      <c r="H19" s="306"/>
      <c r="I19" s="306"/>
      <c r="J19" s="306"/>
      <c r="K19" s="306"/>
      <c r="L19" s="306"/>
      <c r="M19" s="306"/>
      <c r="N19" s="318" t="s">
        <v>138</v>
      </c>
      <c r="O19" s="319"/>
      <c r="P19" s="438" t="s">
        <v>139</v>
      </c>
      <c r="Q19" s="438"/>
      <c r="R19" s="438"/>
      <c r="S19" s="438"/>
      <c r="T19" s="306"/>
      <c r="U19" s="320" t="s">
        <v>140</v>
      </c>
      <c r="V19" s="306"/>
    </row>
    <row r="20" spans="1:22" x14ac:dyDescent="0.25">
      <c r="B20" s="130"/>
      <c r="C20" s="130"/>
      <c r="H20" s="306"/>
      <c r="I20" s="306"/>
      <c r="J20" s="306"/>
      <c r="K20" s="306"/>
      <c r="L20" s="306"/>
      <c r="M20" s="306"/>
      <c r="N20" s="321"/>
      <c r="O20" s="322"/>
      <c r="P20" s="443" t="str">
        <f>B16</f>
        <v>Årssøer</v>
      </c>
      <c r="Q20" s="443"/>
      <c r="R20" s="443" t="str">
        <f>B19</f>
        <v>Søer,gylte og orner</v>
      </c>
      <c r="S20" s="444"/>
      <c r="T20" s="306"/>
      <c r="U20" s="323" t="str">
        <f>B16</f>
        <v>Årssøer</v>
      </c>
      <c r="V20" s="324">
        <f>P22+P21</f>
        <v>107</v>
      </c>
    </row>
    <row r="21" spans="1:22" x14ac:dyDescent="0.25">
      <c r="B21" s="440" t="s">
        <v>123</v>
      </c>
      <c r="C21" s="440"/>
      <c r="H21" s="306"/>
      <c r="I21" s="306"/>
      <c r="J21" s="306"/>
      <c r="K21" s="306"/>
      <c r="L21" s="306"/>
      <c r="M21" s="306"/>
      <c r="N21" s="325" t="s">
        <v>141</v>
      </c>
      <c r="O21" s="326"/>
      <c r="P21" s="445">
        <v>2</v>
      </c>
      <c r="Q21" s="445"/>
      <c r="R21" s="445"/>
      <c r="S21" s="446"/>
      <c r="T21" s="306"/>
      <c r="U21" s="325" t="str">
        <f>B19</f>
        <v>Søer,gylte og orner</v>
      </c>
      <c r="V21" s="327">
        <f>V20</f>
        <v>107</v>
      </c>
    </row>
    <row r="22" spans="1:22" ht="30" x14ac:dyDescent="0.25">
      <c r="A22" s="129" t="s">
        <v>142</v>
      </c>
      <c r="B22" s="126" t="s">
        <v>8</v>
      </c>
      <c r="C22" s="126" t="s">
        <v>9</v>
      </c>
      <c r="H22" s="306"/>
      <c r="I22" s="306"/>
      <c r="J22" s="306"/>
      <c r="K22" s="306"/>
      <c r="L22" s="306"/>
      <c r="M22" s="306"/>
      <c r="N22" s="325" t="s">
        <v>143</v>
      </c>
      <c r="O22" s="326"/>
      <c r="P22" s="445">
        <v>105</v>
      </c>
      <c r="Q22" s="445"/>
      <c r="R22" s="445"/>
      <c r="S22" s="446"/>
      <c r="T22" s="306"/>
      <c r="U22" s="325" t="str">
        <f>C16</f>
        <v>Slagtesvin</v>
      </c>
      <c r="V22" s="327">
        <f>P26</f>
        <v>0.32</v>
      </c>
    </row>
    <row r="23" spans="1:22" ht="15.75" thickBot="1" x14ac:dyDescent="0.3">
      <c r="B23" s="130"/>
      <c r="C23" s="130"/>
      <c r="H23" s="306"/>
      <c r="I23" s="306"/>
      <c r="J23" s="306"/>
      <c r="K23" s="306"/>
      <c r="L23" s="306"/>
      <c r="M23" s="306"/>
      <c r="N23" s="328" t="s">
        <v>144</v>
      </c>
      <c r="O23" s="329"/>
      <c r="P23" s="447">
        <v>101</v>
      </c>
      <c r="Q23" s="447"/>
      <c r="R23" s="447"/>
      <c r="S23" s="448"/>
      <c r="T23" s="306"/>
      <c r="U23" s="325" t="str">
        <f>C19</f>
        <v>Svin o. 30 kg</v>
      </c>
      <c r="V23" s="327">
        <f>P26</f>
        <v>0.32</v>
      </c>
    </row>
    <row r="24" spans="1:22" x14ac:dyDescent="0.25">
      <c r="A24" s="138"/>
      <c r="B24" s="440" t="s">
        <v>123</v>
      </c>
      <c r="C24" s="440"/>
      <c r="H24" s="306"/>
      <c r="I24" s="306"/>
      <c r="J24" s="306"/>
      <c r="K24" s="306"/>
      <c r="L24" s="306"/>
      <c r="M24" s="306"/>
      <c r="N24" s="323"/>
      <c r="O24" s="330"/>
      <c r="P24" s="443" t="str">
        <f>C16</f>
        <v>Slagtesvin</v>
      </c>
      <c r="Q24" s="443"/>
      <c r="R24" s="443" t="str">
        <f>C19</f>
        <v>Svin o. 30 kg</v>
      </c>
      <c r="S24" s="444"/>
      <c r="T24" s="306"/>
      <c r="U24" s="325" t="str">
        <f>D16</f>
        <v>Smågrise</v>
      </c>
      <c r="V24" s="327">
        <v>6.5</v>
      </c>
    </row>
    <row r="25" spans="1:22" ht="34.5" thickBot="1" x14ac:dyDescent="0.3">
      <c r="A25" s="139" t="s">
        <v>145</v>
      </c>
      <c r="B25" s="126" t="s">
        <v>8</v>
      </c>
      <c r="C25" s="126" t="s">
        <v>9</v>
      </c>
      <c r="H25" s="306"/>
      <c r="I25" s="306"/>
      <c r="J25" s="306"/>
      <c r="K25" s="306"/>
      <c r="L25" s="306"/>
      <c r="M25" s="306"/>
      <c r="N25" s="325" t="s">
        <v>146</v>
      </c>
      <c r="O25" s="331"/>
      <c r="P25" s="445">
        <v>0.1</v>
      </c>
      <c r="Q25" s="445"/>
      <c r="R25" s="445"/>
      <c r="S25" s="446"/>
      <c r="T25" s="306"/>
      <c r="U25" s="328" t="str">
        <f>D19</f>
        <v>Smågrise 7-30 kg</v>
      </c>
      <c r="V25" s="332">
        <f>V24</f>
        <v>6.5</v>
      </c>
    </row>
    <row r="26" spans="1:22" ht="15.75" thickBot="1" x14ac:dyDescent="0.3">
      <c r="A26" s="138"/>
      <c r="B26" s="140"/>
      <c r="C26" s="140"/>
      <c r="H26" s="306"/>
      <c r="I26" s="306"/>
      <c r="J26" s="306"/>
      <c r="K26" s="306"/>
      <c r="L26" s="306"/>
      <c r="M26" s="306"/>
      <c r="N26" s="328" t="s">
        <v>147</v>
      </c>
      <c r="O26" s="333"/>
      <c r="P26" s="447">
        <v>0.32</v>
      </c>
      <c r="Q26" s="447"/>
      <c r="R26" s="447"/>
      <c r="S26" s="448"/>
      <c r="T26" s="306"/>
      <c r="U26" s="306">
        <v>0</v>
      </c>
      <c r="V26" s="306">
        <v>0</v>
      </c>
    </row>
    <row r="27" spans="1:22" x14ac:dyDescent="0.25">
      <c r="B27" s="440" t="s">
        <v>123</v>
      </c>
      <c r="C27" s="440"/>
      <c r="H27" s="306"/>
      <c r="I27" s="306"/>
      <c r="J27" s="306"/>
      <c r="K27" s="306"/>
      <c r="L27" s="306"/>
      <c r="M27" s="306"/>
      <c r="N27" s="323"/>
      <c r="O27" s="322"/>
      <c r="P27" s="443" t="str">
        <f>D16</f>
        <v>Smågrise</v>
      </c>
      <c r="Q27" s="443"/>
      <c r="R27" s="443"/>
      <c r="S27" s="444"/>
      <c r="T27" s="306"/>
      <c r="U27" s="306"/>
      <c r="V27" s="306"/>
    </row>
    <row r="28" spans="1:22" ht="30" x14ac:dyDescent="0.25">
      <c r="A28" s="141" t="s">
        <v>148</v>
      </c>
      <c r="B28" s="128" t="s">
        <v>149</v>
      </c>
      <c r="C28" s="128" t="s">
        <v>35</v>
      </c>
      <c r="D28" s="142" t="s">
        <v>34</v>
      </c>
      <c r="E28" t="s">
        <v>90</v>
      </c>
      <c r="F28" t="s">
        <v>89</v>
      </c>
      <c r="G28" t="s">
        <v>94</v>
      </c>
      <c r="H28" s="306"/>
      <c r="I28" s="306"/>
      <c r="J28" s="306"/>
      <c r="K28" s="306"/>
      <c r="L28" s="306"/>
      <c r="M28" s="306"/>
      <c r="N28" s="325" t="s">
        <v>150</v>
      </c>
      <c r="O28" s="331"/>
      <c r="P28" s="445">
        <v>11</v>
      </c>
      <c r="Q28" s="445"/>
      <c r="R28" s="445"/>
      <c r="S28" s="446"/>
      <c r="T28" s="306"/>
      <c r="U28" s="306"/>
      <c r="V28" s="306"/>
    </row>
    <row r="29" spans="1:22" ht="15.75" thickBot="1" x14ac:dyDescent="0.3">
      <c r="H29" s="306"/>
      <c r="I29" s="306"/>
      <c r="J29" s="306"/>
      <c r="K29" s="306"/>
      <c r="L29" s="306"/>
      <c r="M29" s="306"/>
      <c r="N29" s="328" t="s">
        <v>151</v>
      </c>
      <c r="O29" s="333"/>
      <c r="P29" s="447">
        <v>2.2999999999999998</v>
      </c>
      <c r="Q29" s="447"/>
      <c r="R29" s="447"/>
      <c r="S29" s="448"/>
      <c r="T29" s="306"/>
      <c r="U29" s="306"/>
      <c r="V29" s="306"/>
    </row>
    <row r="30" spans="1:22" x14ac:dyDescent="0.25">
      <c r="C30" t="e">
        <f>IF(#REF!=E28:G28,"Kedel","")</f>
        <v>#REF!</v>
      </c>
      <c r="G30" t="e">
        <f>IF('Tiltag 2'!I34=R41:R48,1,2)</f>
        <v>#VALUE!</v>
      </c>
      <c r="H30" s="306"/>
      <c r="I30" s="306"/>
      <c r="J30" s="306"/>
      <c r="K30" s="306"/>
      <c r="L30" s="306"/>
      <c r="M30" s="306"/>
      <c r="N30" s="306"/>
      <c r="O30" s="306"/>
      <c r="P30" s="306"/>
      <c r="Q30" s="306"/>
      <c r="R30" s="306"/>
      <c r="S30" s="306"/>
      <c r="T30" s="306"/>
      <c r="U30" s="306"/>
      <c r="V30" s="306"/>
    </row>
    <row r="31" spans="1:22" ht="15.75" thickBot="1" x14ac:dyDescent="0.3">
      <c r="B31" t="s">
        <v>192</v>
      </c>
      <c r="C31" t="e">
        <f>MATCH(#REF!,C28:G28,0)</f>
        <v>#REF!</v>
      </c>
      <c r="H31" s="306"/>
      <c r="I31" s="306"/>
      <c r="J31" s="306"/>
      <c r="K31" s="306"/>
      <c r="L31" s="306"/>
      <c r="M31" s="306"/>
      <c r="N31" s="318" t="s">
        <v>138</v>
      </c>
      <c r="O31" s="319"/>
      <c r="P31" s="438" t="s">
        <v>152</v>
      </c>
      <c r="Q31" s="438"/>
      <c r="R31" s="438"/>
      <c r="S31" s="438"/>
      <c r="T31" s="306"/>
      <c r="U31" s="320" t="s">
        <v>140</v>
      </c>
      <c r="V31" s="306"/>
    </row>
    <row r="32" spans="1:22" x14ac:dyDescent="0.25">
      <c r="B32" t="s">
        <v>193</v>
      </c>
      <c r="C32" t="e">
        <f>MATCH('Tiltag 4'!J35,C28:G28,0)</f>
        <v>#N/A</v>
      </c>
      <c r="H32" s="306"/>
      <c r="I32" s="306"/>
      <c r="J32" s="306"/>
      <c r="K32" s="306"/>
      <c r="L32" s="306"/>
      <c r="M32" s="306"/>
      <c r="N32" s="321"/>
      <c r="O32" s="322"/>
      <c r="P32" s="443" t="str">
        <f>B16</f>
        <v>Årssøer</v>
      </c>
      <c r="Q32" s="443"/>
      <c r="R32" s="443" t="str">
        <f>B19</f>
        <v>Søer,gylte og orner</v>
      </c>
      <c r="S32" s="444"/>
      <c r="T32" s="306"/>
      <c r="U32" s="323" t="str">
        <f>B16</f>
        <v>Årssøer</v>
      </c>
      <c r="V32" s="324">
        <f>P34</f>
        <v>44</v>
      </c>
    </row>
    <row r="33" spans="2:22" x14ac:dyDescent="0.25">
      <c r="B33" t="s">
        <v>90</v>
      </c>
      <c r="C33" t="s">
        <v>185</v>
      </c>
      <c r="H33" s="306"/>
      <c r="I33" s="306"/>
      <c r="J33" s="306"/>
      <c r="K33" s="306"/>
      <c r="L33" s="306"/>
      <c r="M33" s="306"/>
      <c r="N33" s="325" t="s">
        <v>141</v>
      </c>
      <c r="O33" s="326"/>
      <c r="P33" s="445">
        <v>0</v>
      </c>
      <c r="Q33" s="445"/>
      <c r="R33" s="445"/>
      <c r="S33" s="446"/>
      <c r="T33" s="306"/>
      <c r="U33" s="325" t="str">
        <f>B19</f>
        <v>Søer,gylte og orner</v>
      </c>
      <c r="V33" s="327">
        <f>P34</f>
        <v>44</v>
      </c>
    </row>
    <row r="34" spans="2:22" ht="15.75" thickBot="1" x14ac:dyDescent="0.3">
      <c r="B34" t="s">
        <v>89</v>
      </c>
      <c r="C34" t="s">
        <v>184</v>
      </c>
      <c r="H34" s="306"/>
      <c r="I34" s="306"/>
      <c r="J34" s="306"/>
      <c r="K34" s="306"/>
      <c r="L34" s="306"/>
      <c r="M34" s="306"/>
      <c r="N34" s="325" t="s">
        <v>143</v>
      </c>
      <c r="O34" s="326"/>
      <c r="P34" s="445">
        <v>44</v>
      </c>
      <c r="Q34" s="445"/>
      <c r="R34" s="445"/>
      <c r="S34" s="446"/>
      <c r="T34" s="306"/>
      <c r="U34" s="325" t="str">
        <f>C16</f>
        <v>Slagtesvin</v>
      </c>
      <c r="V34" s="327">
        <f>P36</f>
        <v>2.2000000000000002</v>
      </c>
    </row>
    <row r="35" spans="2:22" x14ac:dyDescent="0.25">
      <c r="B35" t="s">
        <v>94</v>
      </c>
      <c r="C35" t="s">
        <v>2</v>
      </c>
      <c r="H35" s="306"/>
      <c r="I35" s="306"/>
      <c r="J35" s="306"/>
      <c r="K35" s="306"/>
      <c r="L35" s="306"/>
      <c r="M35" s="306"/>
      <c r="N35" s="323"/>
      <c r="O35" s="330"/>
      <c r="P35" s="443" t="str">
        <f>C16</f>
        <v>Slagtesvin</v>
      </c>
      <c r="Q35" s="443"/>
      <c r="R35" s="443" t="str">
        <f>C19</f>
        <v>Svin o. 30 kg</v>
      </c>
      <c r="S35" s="444"/>
      <c r="T35" s="306"/>
      <c r="U35" s="325" t="str">
        <f>C19</f>
        <v>Svin o. 30 kg</v>
      </c>
      <c r="V35" s="327">
        <f>P36</f>
        <v>2.2000000000000002</v>
      </c>
    </row>
    <row r="36" spans="2:22" ht="15.75" thickBot="1" x14ac:dyDescent="0.3">
      <c r="H36" s="306"/>
      <c r="I36" s="306"/>
      <c r="J36" s="306"/>
      <c r="K36" s="306"/>
      <c r="L36" s="306"/>
      <c r="M36" s="306"/>
      <c r="N36" s="325" t="s">
        <v>146</v>
      </c>
      <c r="O36" s="331"/>
      <c r="P36" s="445">
        <v>2.2000000000000002</v>
      </c>
      <c r="Q36" s="445"/>
      <c r="R36" s="445"/>
      <c r="S36" s="446"/>
      <c r="T36" s="306"/>
      <c r="U36" s="325" t="str">
        <f>D16</f>
        <v>Smågrise</v>
      </c>
      <c r="V36" s="327">
        <f>P38</f>
        <v>1</v>
      </c>
    </row>
    <row r="37" spans="2:22" ht="15.75" thickBot="1" x14ac:dyDescent="0.3">
      <c r="H37" s="306"/>
      <c r="I37" s="306"/>
      <c r="J37" s="306"/>
      <c r="K37" s="306"/>
      <c r="L37" s="306"/>
      <c r="M37" s="306"/>
      <c r="N37" s="323"/>
      <c r="O37" s="322"/>
      <c r="P37" s="443" t="str">
        <f>D16</f>
        <v>Smågrise</v>
      </c>
      <c r="Q37" s="443"/>
      <c r="R37" s="443"/>
      <c r="S37" s="444"/>
      <c r="T37" s="306"/>
      <c r="U37" s="328" t="str">
        <f>D19</f>
        <v>Smågrise 7-30 kg</v>
      </c>
      <c r="V37" s="332">
        <f>P38</f>
        <v>1</v>
      </c>
    </row>
    <row r="38" spans="2:22" ht="15.75" thickBot="1" x14ac:dyDescent="0.3">
      <c r="H38" s="306"/>
      <c r="I38" s="306"/>
      <c r="J38" s="306"/>
      <c r="K38" s="306"/>
      <c r="L38" s="306"/>
      <c r="M38" s="306"/>
      <c r="N38" s="328" t="s">
        <v>150</v>
      </c>
      <c r="O38" s="333"/>
      <c r="P38" s="447">
        <v>1</v>
      </c>
      <c r="Q38" s="447"/>
      <c r="R38" s="447"/>
      <c r="S38" s="448"/>
      <c r="T38" s="306"/>
      <c r="U38" s="306"/>
      <c r="V38" s="306"/>
    </row>
    <row r="39" spans="2:22" ht="15.75" thickBot="1" x14ac:dyDescent="0.3">
      <c r="H39" s="306"/>
      <c r="I39" s="306"/>
      <c r="J39" s="306"/>
      <c r="K39" s="306"/>
      <c r="L39" s="306"/>
      <c r="M39" s="306"/>
      <c r="N39" s="306"/>
      <c r="O39" s="306"/>
      <c r="P39" s="306"/>
      <c r="Q39" s="306"/>
      <c r="R39" s="306"/>
      <c r="S39" s="306"/>
      <c r="T39" s="306"/>
      <c r="U39" s="306"/>
      <c r="V39" s="306"/>
    </row>
    <row r="40" spans="2:22" x14ac:dyDescent="0.25">
      <c r="H40" s="306"/>
      <c r="I40" s="306"/>
      <c r="J40" s="306"/>
      <c r="K40" s="306"/>
      <c r="L40" s="306"/>
      <c r="M40" s="306"/>
      <c r="N40" s="306"/>
      <c r="O40" s="306"/>
      <c r="P40" s="306"/>
      <c r="Q40" s="306"/>
      <c r="R40" s="334" t="s">
        <v>225</v>
      </c>
      <c r="S40" s="335" t="s">
        <v>96</v>
      </c>
      <c r="T40" s="306"/>
      <c r="U40" s="306"/>
      <c r="V40" s="306"/>
    </row>
    <row r="41" spans="2:22" x14ac:dyDescent="0.25">
      <c r="H41" s="306"/>
      <c r="I41" s="306"/>
      <c r="J41" s="306"/>
      <c r="K41" s="306"/>
      <c r="L41" s="306"/>
      <c r="M41" s="306"/>
      <c r="N41" s="306"/>
      <c r="O41" s="306"/>
      <c r="P41" s="306"/>
      <c r="Q41" s="306"/>
      <c r="R41" s="336" t="s">
        <v>17</v>
      </c>
      <c r="S41" s="337" t="s">
        <v>17</v>
      </c>
      <c r="T41" s="306"/>
      <c r="U41" s="306"/>
      <c r="V41" s="306"/>
    </row>
    <row r="42" spans="2:22" ht="15.75" thickBot="1" x14ac:dyDescent="0.3">
      <c r="H42" s="306"/>
      <c r="I42" s="306"/>
      <c r="J42" s="306"/>
      <c r="K42" s="306"/>
      <c r="L42" s="306"/>
      <c r="M42" s="306"/>
      <c r="N42" s="306" t="s">
        <v>205</v>
      </c>
      <c r="O42" s="306"/>
      <c r="P42" s="306"/>
      <c r="Q42" s="306"/>
      <c r="R42" s="336" t="s">
        <v>226</v>
      </c>
      <c r="S42" s="337" t="s">
        <v>226</v>
      </c>
      <c r="T42" s="306"/>
      <c r="U42" s="306"/>
      <c r="V42" s="306"/>
    </row>
    <row r="43" spans="2:22" ht="15.75" thickBot="1" x14ac:dyDescent="0.3">
      <c r="H43" s="306"/>
      <c r="I43" s="306"/>
      <c r="J43" s="306"/>
      <c r="K43" s="306"/>
      <c r="L43" s="306"/>
      <c r="M43" s="306"/>
      <c r="N43" s="338" t="s">
        <v>206</v>
      </c>
      <c r="O43" s="339">
        <v>0.8</v>
      </c>
      <c r="P43" s="340" t="s">
        <v>212</v>
      </c>
      <c r="Q43" s="306"/>
      <c r="R43" s="336" t="s">
        <v>5</v>
      </c>
      <c r="S43" s="337" t="s">
        <v>97</v>
      </c>
      <c r="T43" s="306"/>
      <c r="U43" s="306"/>
      <c r="V43" s="306"/>
    </row>
    <row r="44" spans="2:22" ht="15.75" thickBot="1" x14ac:dyDescent="0.3">
      <c r="H44" s="306"/>
      <c r="I44" s="306"/>
      <c r="J44" s="306"/>
      <c r="K44" s="306"/>
      <c r="L44" s="306"/>
      <c r="M44" s="306"/>
      <c r="N44" s="341" t="s">
        <v>207</v>
      </c>
      <c r="O44" s="342">
        <v>0.9</v>
      </c>
      <c r="P44" s="340" t="s">
        <v>212</v>
      </c>
      <c r="Q44" s="306"/>
      <c r="R44" s="336" t="s">
        <v>214</v>
      </c>
      <c r="S44" s="337" t="s">
        <v>214</v>
      </c>
      <c r="T44" s="306"/>
      <c r="U44" s="306"/>
      <c r="V44" s="306"/>
    </row>
    <row r="45" spans="2:22" ht="15.75" thickBot="1" x14ac:dyDescent="0.3">
      <c r="H45" s="306"/>
      <c r="I45" s="306"/>
      <c r="J45" s="306"/>
      <c r="K45" s="306"/>
      <c r="L45" s="306"/>
      <c r="M45" s="306"/>
      <c r="N45" s="341" t="s">
        <v>5</v>
      </c>
      <c r="O45" s="343">
        <v>0.8</v>
      </c>
      <c r="P45" s="340" t="s">
        <v>213</v>
      </c>
      <c r="Q45" s="306"/>
      <c r="R45" s="306" t="s">
        <v>184</v>
      </c>
      <c r="S45" s="306" t="s">
        <v>184</v>
      </c>
      <c r="T45" s="306"/>
      <c r="U45" s="306"/>
      <c r="V45" s="306"/>
    </row>
    <row r="46" spans="2:22" ht="15.75" thickBot="1" x14ac:dyDescent="0.3">
      <c r="H46" s="306"/>
      <c r="I46" s="306"/>
      <c r="J46" s="306"/>
      <c r="K46" s="306"/>
      <c r="L46" s="306"/>
      <c r="M46" s="306"/>
      <c r="N46" s="341" t="s">
        <v>208</v>
      </c>
      <c r="O46" s="343">
        <v>0.8</v>
      </c>
      <c r="P46" s="340" t="s">
        <v>214</v>
      </c>
      <c r="Q46" s="306"/>
      <c r="R46" s="344" t="s">
        <v>2</v>
      </c>
      <c r="S46" s="345" t="s">
        <v>2</v>
      </c>
      <c r="T46" s="306"/>
      <c r="U46" s="306"/>
      <c r="V46" s="306"/>
    </row>
    <row r="47" spans="2:22" ht="15.75" thickBot="1" x14ac:dyDescent="0.3">
      <c r="H47" s="306"/>
      <c r="I47" s="306"/>
      <c r="J47" s="306"/>
      <c r="K47" s="306"/>
      <c r="L47" s="306"/>
      <c r="M47" s="306"/>
      <c r="N47" s="341" t="s">
        <v>209</v>
      </c>
      <c r="O47" s="343">
        <v>0.9</v>
      </c>
      <c r="P47" s="340" t="s">
        <v>214</v>
      </c>
      <c r="Q47" s="306"/>
      <c r="R47" s="336"/>
      <c r="S47" s="337"/>
      <c r="T47" s="306"/>
      <c r="U47" s="306"/>
      <c r="V47" s="306"/>
    </row>
    <row r="48" spans="2:22" ht="15.75" thickBot="1" x14ac:dyDescent="0.3">
      <c r="H48" s="306"/>
      <c r="I48" s="306"/>
      <c r="J48" s="306"/>
      <c r="K48" s="306"/>
      <c r="L48" s="306"/>
      <c r="M48" s="306"/>
      <c r="N48" s="341" t="s">
        <v>2</v>
      </c>
      <c r="O48" s="343">
        <v>0.7</v>
      </c>
      <c r="P48" s="340" t="s">
        <v>2</v>
      </c>
      <c r="Q48" s="306"/>
      <c r="R48" s="344" t="s">
        <v>2</v>
      </c>
      <c r="S48" s="345" t="s">
        <v>2</v>
      </c>
      <c r="T48" s="306"/>
      <c r="U48" s="306"/>
      <c r="V48" s="306"/>
    </row>
    <row r="49" spans="8:22" ht="15.75" thickBot="1" x14ac:dyDescent="0.3">
      <c r="H49" s="306"/>
      <c r="I49" s="306"/>
      <c r="J49" s="306"/>
      <c r="K49" s="306"/>
      <c r="L49" s="306"/>
      <c r="M49" s="306"/>
      <c r="N49" s="306"/>
      <c r="O49" s="306"/>
      <c r="P49" s="306"/>
      <c r="Q49" s="306"/>
      <c r="R49" s="344"/>
      <c r="S49" s="345"/>
      <c r="T49" s="306"/>
      <c r="U49" s="306"/>
      <c r="V49" s="306"/>
    </row>
    <row r="50" spans="8:22" x14ac:dyDescent="0.25">
      <c r="H50" s="306"/>
      <c r="I50" s="306"/>
      <c r="J50" s="306"/>
      <c r="K50" s="306"/>
      <c r="L50" s="306"/>
      <c r="M50" s="306"/>
      <c r="N50" s="346" t="s">
        <v>228</v>
      </c>
      <c r="O50" s="347">
        <f>IF(AND('Tiltag 2'!I35&gt;999.999,OR('Tiltag 2'!I34=R41,'Tiltag 2'!I34=R42,'Tiltag 2'!I34=R44,'Tiltag 2'!I34=R45,)),O44,IF('Tiltag 2'!I34=R48,O48,0.8))</f>
        <v>0.8</v>
      </c>
      <c r="P50" s="306"/>
      <c r="Q50" s="306"/>
      <c r="R50" s="306"/>
      <c r="S50" s="306"/>
      <c r="T50" s="306"/>
      <c r="U50" s="306"/>
      <c r="V50" s="306"/>
    </row>
    <row r="51" spans="8:22" ht="15.75" thickBot="1" x14ac:dyDescent="0.3">
      <c r="H51" s="306"/>
      <c r="I51" s="306"/>
      <c r="J51" s="306"/>
      <c r="K51" s="306"/>
      <c r="L51" s="306"/>
      <c r="M51" s="306"/>
      <c r="N51" s="346" t="s">
        <v>211</v>
      </c>
      <c r="O51" s="306">
        <f>'Tiltag 2'!I35</f>
        <v>0</v>
      </c>
      <c r="P51" s="306"/>
      <c r="Q51" s="306"/>
      <c r="R51" s="306">
        <f>'Tiltag 2'!I34</f>
        <v>0</v>
      </c>
      <c r="S51" s="306"/>
      <c r="T51" s="306"/>
      <c r="U51" s="306"/>
      <c r="V51" s="306"/>
    </row>
    <row r="52" spans="8:22" ht="15.75" thickBot="1" x14ac:dyDescent="0.3">
      <c r="H52" s="306"/>
      <c r="I52" s="306"/>
      <c r="J52" s="306"/>
      <c r="K52" s="306"/>
      <c r="L52" s="306"/>
      <c r="M52" s="306"/>
      <c r="N52" s="338" t="s">
        <v>89</v>
      </c>
      <c r="O52" s="348">
        <v>0.97</v>
      </c>
      <c r="P52" s="340" t="s">
        <v>214</v>
      </c>
      <c r="Q52" s="306"/>
      <c r="R52" s="306"/>
      <c r="S52" s="306"/>
      <c r="T52" s="306"/>
      <c r="U52" s="306"/>
      <c r="V52" s="306"/>
    </row>
    <row r="53" spans="8:22" ht="15.75" thickBot="1" x14ac:dyDescent="0.3">
      <c r="H53" s="306"/>
      <c r="I53" s="306"/>
      <c r="J53" s="306"/>
      <c r="K53" s="306"/>
      <c r="L53" s="306"/>
      <c r="M53" s="306" t="s">
        <v>215</v>
      </c>
      <c r="N53" s="341" t="s">
        <v>90</v>
      </c>
      <c r="O53" s="349">
        <v>0.96</v>
      </c>
      <c r="P53" s="340" t="s">
        <v>214</v>
      </c>
      <c r="Q53" s="306"/>
      <c r="R53" s="306"/>
      <c r="S53" s="306"/>
      <c r="T53" s="306"/>
      <c r="U53" s="306"/>
      <c r="V53" s="306"/>
    </row>
    <row r="54" spans="8:22" ht="15.75" thickBot="1" x14ac:dyDescent="0.3">
      <c r="H54" s="306"/>
      <c r="I54" s="306"/>
      <c r="J54" s="306"/>
      <c r="K54" s="306"/>
      <c r="L54" s="306"/>
      <c r="M54" s="306"/>
      <c r="N54" s="341" t="s">
        <v>94</v>
      </c>
      <c r="O54" s="349">
        <v>0.88</v>
      </c>
      <c r="P54" s="340" t="s">
        <v>2</v>
      </c>
      <c r="Q54" s="306"/>
      <c r="R54" s="306"/>
      <c r="S54" s="306"/>
      <c r="T54" s="306"/>
      <c r="U54" s="306"/>
      <c r="V54" s="306"/>
    </row>
    <row r="55" spans="8:22" ht="15.75" thickBot="1" x14ac:dyDescent="0.3">
      <c r="H55" s="306"/>
      <c r="I55" s="306"/>
      <c r="J55" s="306"/>
      <c r="K55" s="306"/>
      <c r="L55" s="306"/>
      <c r="M55" s="306"/>
      <c r="N55" s="341" t="s">
        <v>52</v>
      </c>
      <c r="O55" s="349">
        <v>1</v>
      </c>
      <c r="P55" s="340" t="s">
        <v>105</v>
      </c>
      <c r="Q55" s="306"/>
      <c r="R55" s="306"/>
      <c r="S55" s="306"/>
      <c r="T55" s="306"/>
      <c r="U55" s="306"/>
      <c r="V55" s="306"/>
    </row>
    <row r="56" spans="8:22" ht="15.75" thickBot="1" x14ac:dyDescent="0.3">
      <c r="H56" s="306"/>
      <c r="I56" s="306"/>
      <c r="J56" s="306"/>
      <c r="K56" s="306"/>
      <c r="L56" s="306"/>
      <c r="M56" s="306"/>
      <c r="N56" s="341" t="s">
        <v>35</v>
      </c>
      <c r="O56" s="349">
        <v>1</v>
      </c>
      <c r="P56" s="340" t="s">
        <v>35</v>
      </c>
      <c r="Q56" s="306"/>
      <c r="R56" s="306"/>
      <c r="S56" s="306"/>
      <c r="T56" s="306"/>
      <c r="U56" s="306"/>
      <c r="V56" s="306"/>
    </row>
    <row r="57" spans="8:22" ht="15.75" thickBot="1" x14ac:dyDescent="0.3">
      <c r="H57" s="306"/>
      <c r="I57" s="306"/>
      <c r="J57" s="306"/>
      <c r="K57" s="306"/>
      <c r="L57" s="306"/>
      <c r="M57" s="306"/>
      <c r="N57" s="341" t="s">
        <v>34</v>
      </c>
      <c r="O57" s="349">
        <v>3.5</v>
      </c>
      <c r="P57" s="340" t="s">
        <v>105</v>
      </c>
      <c r="Q57" s="306"/>
      <c r="R57" s="306"/>
      <c r="S57" s="306"/>
      <c r="T57" s="306"/>
      <c r="U57" s="306"/>
      <c r="V57" s="306"/>
    </row>
    <row r="58" spans="8:22" x14ac:dyDescent="0.25">
      <c r="H58" s="306"/>
      <c r="I58" s="306"/>
      <c r="J58" s="306"/>
      <c r="K58" s="306"/>
      <c r="L58" s="306"/>
      <c r="M58" s="306"/>
      <c r="N58" s="306"/>
      <c r="O58" s="306"/>
      <c r="P58" s="306"/>
      <c r="Q58" s="306"/>
      <c r="R58" s="306"/>
      <c r="S58" s="306"/>
      <c r="T58" s="306"/>
      <c r="U58" s="306"/>
      <c r="V58" s="306"/>
    </row>
    <row r="59" spans="8:22" x14ac:dyDescent="0.25">
      <c r="H59" s="306"/>
      <c r="I59" s="306"/>
      <c r="J59" s="306"/>
      <c r="K59" s="306"/>
      <c r="L59" s="306"/>
      <c r="M59" s="306"/>
      <c r="N59" s="346" t="s">
        <v>228</v>
      </c>
      <c r="O59" s="347" t="e">
        <f>VLOOKUP('Tiltag 2'!I38,N52:P57,2,FALSE)</f>
        <v>#N/A</v>
      </c>
      <c r="P59" s="306"/>
      <c r="Q59" s="306"/>
      <c r="R59" s="306"/>
      <c r="S59" s="306"/>
      <c r="T59" s="306"/>
      <c r="U59" s="306"/>
      <c r="V59" s="306"/>
    </row>
    <row r="60" spans="8:22" x14ac:dyDescent="0.25">
      <c r="H60" s="306"/>
      <c r="I60" s="306"/>
      <c r="J60" s="306"/>
      <c r="K60" s="306"/>
      <c r="L60" s="306"/>
      <c r="M60" s="306"/>
      <c r="N60" s="346" t="s">
        <v>240</v>
      </c>
      <c r="O60" s="306">
        <f>'Tiltag 2'!I39</f>
        <v>0</v>
      </c>
      <c r="P60" s="306"/>
      <c r="Q60" s="306"/>
      <c r="R60" s="306"/>
      <c r="S60" s="306"/>
      <c r="T60" s="306"/>
      <c r="U60" s="306"/>
      <c r="V60" s="306"/>
    </row>
    <row r="61" spans="8:22" x14ac:dyDescent="0.25">
      <c r="H61" s="306"/>
      <c r="I61" s="306"/>
      <c r="J61" s="306"/>
      <c r="K61" s="306"/>
      <c r="L61" s="306"/>
      <c r="M61" s="306"/>
      <c r="N61" s="346" t="s">
        <v>241</v>
      </c>
      <c r="O61" s="306">
        <f>'Tiltag 2'!I38</f>
        <v>0</v>
      </c>
      <c r="P61" s="306"/>
      <c r="Q61" s="306"/>
      <c r="R61" s="306"/>
      <c r="S61" s="306"/>
      <c r="T61" s="306"/>
      <c r="U61" s="306"/>
      <c r="V61" s="306"/>
    </row>
    <row r="62" spans="8:22" x14ac:dyDescent="0.25">
      <c r="H62" s="306"/>
      <c r="I62" s="306"/>
      <c r="J62" s="306"/>
      <c r="K62" s="306"/>
      <c r="L62" s="306"/>
      <c r="M62" s="306"/>
      <c r="N62" s="340" t="s">
        <v>221</v>
      </c>
      <c r="O62" s="340" t="s">
        <v>222</v>
      </c>
      <c r="P62" s="306"/>
      <c r="Q62" s="306"/>
      <c r="R62" s="306"/>
      <c r="S62" s="306"/>
      <c r="T62" s="306"/>
      <c r="U62" s="306"/>
      <c r="V62" s="306"/>
    </row>
    <row r="63" spans="8:22" x14ac:dyDescent="0.25">
      <c r="H63" s="306"/>
      <c r="I63" s="306"/>
      <c r="J63" s="306"/>
      <c r="K63" s="306"/>
      <c r="L63" s="306"/>
      <c r="M63" s="306"/>
      <c r="N63" s="340" t="s">
        <v>2</v>
      </c>
      <c r="O63" s="350">
        <v>0.7</v>
      </c>
      <c r="P63" s="306"/>
      <c r="Q63" s="306"/>
      <c r="R63" s="306"/>
      <c r="S63" s="306"/>
      <c r="T63" s="306"/>
      <c r="U63" s="306"/>
      <c r="V63" s="306"/>
    </row>
    <row r="64" spans="8:22" x14ac:dyDescent="0.25">
      <c r="H64" s="306"/>
      <c r="I64" s="306"/>
      <c r="J64" s="306"/>
      <c r="K64" s="306"/>
      <c r="L64" s="306"/>
      <c r="M64" s="306"/>
      <c r="N64" s="340" t="s">
        <v>5</v>
      </c>
      <c r="O64" s="350">
        <v>0.8</v>
      </c>
      <c r="P64" s="306"/>
      <c r="Q64" s="306"/>
      <c r="R64" s="306"/>
      <c r="S64" s="306"/>
      <c r="T64" s="306"/>
      <c r="U64" s="306"/>
      <c r="V64" s="306"/>
    </row>
    <row r="65" spans="8:22" x14ac:dyDescent="0.25">
      <c r="H65" s="306"/>
      <c r="I65" s="306"/>
      <c r="J65" s="306"/>
      <c r="K65" s="306"/>
      <c r="L65" s="306"/>
      <c r="M65" s="306"/>
      <c r="N65" s="340" t="s">
        <v>223</v>
      </c>
      <c r="O65" s="350">
        <v>0.8</v>
      </c>
      <c r="P65" s="306"/>
      <c r="Q65" s="306"/>
      <c r="R65" s="306"/>
      <c r="S65" s="306"/>
      <c r="T65" s="306"/>
      <c r="U65" s="306"/>
      <c r="V65" s="306"/>
    </row>
    <row r="66" spans="8:22" x14ac:dyDescent="0.25">
      <c r="H66" s="306"/>
      <c r="I66" s="306"/>
      <c r="J66" s="306"/>
      <c r="K66" s="306"/>
      <c r="L66" s="306"/>
      <c r="M66" s="306"/>
      <c r="N66" s="340" t="s">
        <v>224</v>
      </c>
      <c r="O66" s="350">
        <v>0.9</v>
      </c>
      <c r="P66" s="306"/>
      <c r="Q66" s="306"/>
      <c r="R66" s="306"/>
      <c r="S66" s="306"/>
      <c r="T66" s="306"/>
      <c r="U66" s="306"/>
      <c r="V66" s="306"/>
    </row>
    <row r="67" spans="8:22" x14ac:dyDescent="0.25">
      <c r="H67" s="306"/>
      <c r="I67" s="306"/>
      <c r="J67" s="306"/>
      <c r="K67" s="306"/>
      <c r="L67" s="306"/>
      <c r="M67" s="306"/>
      <c r="N67" s="306"/>
      <c r="O67" s="306"/>
      <c r="P67" s="306"/>
      <c r="Q67" s="306"/>
      <c r="R67" s="306"/>
      <c r="S67" s="306"/>
      <c r="T67" s="306"/>
      <c r="U67" s="306"/>
      <c r="V67" s="306"/>
    </row>
    <row r="68" spans="8:22" x14ac:dyDescent="0.25">
      <c r="H68" s="306"/>
      <c r="I68" s="306"/>
      <c r="J68" s="306"/>
      <c r="K68" s="306"/>
      <c r="L68" s="306"/>
      <c r="M68" s="306"/>
      <c r="N68" s="306"/>
      <c r="O68" s="306"/>
      <c r="P68" s="306"/>
      <c r="Q68" s="306"/>
      <c r="R68" s="306"/>
      <c r="S68" s="306"/>
      <c r="T68" s="306"/>
      <c r="U68" s="306"/>
      <c r="V68" s="306"/>
    </row>
  </sheetData>
  <protectedRanges>
    <protectedRange sqref="N11:Q13" name="Område1_1"/>
  </protectedRanges>
  <mergeCells count="45">
    <mergeCell ref="P13:Q13"/>
    <mergeCell ref="R13:S13"/>
    <mergeCell ref="P14:Q14"/>
    <mergeCell ref="R14:S14"/>
    <mergeCell ref="P38:S38"/>
    <mergeCell ref="P28:S28"/>
    <mergeCell ref="P29:S29"/>
    <mergeCell ref="P31:S31"/>
    <mergeCell ref="P32:Q32"/>
    <mergeCell ref="R32:S32"/>
    <mergeCell ref="P33:S33"/>
    <mergeCell ref="P34:S34"/>
    <mergeCell ref="P35:Q35"/>
    <mergeCell ref="R35:S35"/>
    <mergeCell ref="P36:S36"/>
    <mergeCell ref="P37:S37"/>
    <mergeCell ref="B27:C27"/>
    <mergeCell ref="P27:S27"/>
    <mergeCell ref="P20:Q20"/>
    <mergeCell ref="R20:S20"/>
    <mergeCell ref="B21:C21"/>
    <mergeCell ref="P21:S21"/>
    <mergeCell ref="P22:S22"/>
    <mergeCell ref="P23:S23"/>
    <mergeCell ref="B24:C24"/>
    <mergeCell ref="P24:Q24"/>
    <mergeCell ref="R24:S24"/>
    <mergeCell ref="P25:S25"/>
    <mergeCell ref="P26:S26"/>
    <mergeCell ref="P19:S19"/>
    <mergeCell ref="A1:C1"/>
    <mergeCell ref="B9:C9"/>
    <mergeCell ref="B12:C12"/>
    <mergeCell ref="B15:C15"/>
    <mergeCell ref="B18:C18"/>
    <mergeCell ref="N10:O10"/>
    <mergeCell ref="P10:Q10"/>
    <mergeCell ref="R10:S10"/>
    <mergeCell ref="N11:O11"/>
    <mergeCell ref="P11:Q11"/>
    <mergeCell ref="R11:S11"/>
    <mergeCell ref="N12:O12"/>
    <mergeCell ref="P12:Q12"/>
    <mergeCell ref="R12:S12"/>
    <mergeCell ref="N13:O13"/>
  </mergeCells>
  <conditionalFormatting sqref="T10">
    <cfRule type="expression" dxfId="0" priority="1">
      <formula>$I$17=$B$13</formula>
    </cfRule>
    <cfRule type="expression" priority="2">
      <formula>$I$17=$C$13</formula>
    </cfRule>
  </conditionalFormatting>
  <dataValidations count="1">
    <dataValidation allowBlank="1" showErrorMessage="1" prompt="Her indtastes optælling af specifikke samlede antal lyskilder, og ikke antal lamper/lysarmaturer. Hvis der f.eks, er to, tre eller fire lyskilder i en lampe/lysaramtur, så skal der optælles hhv. to, tre eller fire lyskilder." sqref="R14 T10:T14" xr:uid="{00000000-0002-0000-0700-000000000000}"/>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0"/>
  <dimension ref="A1:T69"/>
  <sheetViews>
    <sheetView zoomScaleNormal="100" workbookViewId="0">
      <selection activeCell="D32" sqref="D32"/>
    </sheetView>
  </sheetViews>
  <sheetFormatPr defaultRowHeight="15" x14ac:dyDescent="0.25"/>
  <cols>
    <col min="1" max="1" width="29.5703125" customWidth="1"/>
    <col min="2" max="3" width="13.85546875" customWidth="1"/>
    <col min="4" max="4" width="11.140625" customWidth="1"/>
    <col min="5" max="5" width="12.140625" customWidth="1"/>
    <col min="6" max="6" width="10.140625" customWidth="1"/>
    <col min="7" max="7" width="14.85546875" customWidth="1"/>
    <col min="8" max="8" width="13.85546875" customWidth="1"/>
    <col min="12" max="12" width="39.42578125" customWidth="1"/>
    <col min="13" max="13" width="15.85546875" bestFit="1" customWidth="1"/>
    <col min="14" max="14" width="21.42578125" bestFit="1" customWidth="1"/>
    <col min="16" max="16" width="14.42578125" bestFit="1" customWidth="1"/>
    <col min="17" max="17" width="21.42578125" bestFit="1" customWidth="1"/>
    <col min="18" max="18" width="10.5703125" bestFit="1" customWidth="1"/>
    <col min="19" max="19" width="23.140625" bestFit="1" customWidth="1"/>
  </cols>
  <sheetData>
    <row r="1" spans="1:19" ht="18.75" x14ac:dyDescent="0.3">
      <c r="A1" s="439" t="s">
        <v>116</v>
      </c>
      <c r="B1" s="439"/>
      <c r="C1" s="439"/>
    </row>
    <row r="3" spans="1:19" ht="15.75" x14ac:dyDescent="0.25">
      <c r="A3" s="119" t="s">
        <v>117</v>
      </c>
    </row>
    <row r="4" spans="1:19" x14ac:dyDescent="0.25">
      <c r="A4" s="120" t="s">
        <v>118</v>
      </c>
      <c r="K4" s="121"/>
      <c r="M4" s="121"/>
    </row>
    <row r="5" spans="1:19" x14ac:dyDescent="0.25">
      <c r="A5" s="122" t="s">
        <v>119</v>
      </c>
    </row>
    <row r="6" spans="1:19" x14ac:dyDescent="0.25">
      <c r="A6" s="123" t="s">
        <v>120</v>
      </c>
    </row>
    <row r="8" spans="1:19" x14ac:dyDescent="0.25">
      <c r="H8" s="124" t="s">
        <v>121</v>
      </c>
    </row>
    <row r="9" spans="1:19" x14ac:dyDescent="0.25">
      <c r="A9" s="124" t="s">
        <v>122</v>
      </c>
      <c r="B9" s="440" t="s">
        <v>123</v>
      </c>
      <c r="C9" s="440"/>
      <c r="D9" s="125"/>
    </row>
    <row r="10" spans="1:19" ht="18" customHeight="1" x14ac:dyDescent="0.25">
      <c r="A10" t="s">
        <v>124</v>
      </c>
      <c r="B10" s="126" t="s">
        <v>8</v>
      </c>
      <c r="C10" s="126" t="s">
        <v>9</v>
      </c>
      <c r="H10" s="127" t="s">
        <v>125</v>
      </c>
    </row>
    <row r="11" spans="1:19" ht="24.75" customHeight="1" x14ac:dyDescent="0.25">
      <c r="B11" s="126"/>
      <c r="C11" s="126"/>
      <c r="H11" s="128" t="str">
        <f>B19</f>
        <v>Ja</v>
      </c>
      <c r="I11">
        <v>8.6999999999999993</v>
      </c>
      <c r="L11">
        <v>8.6999999999999993</v>
      </c>
      <c r="M11" t="s">
        <v>159</v>
      </c>
    </row>
    <row r="12" spans="1:19" x14ac:dyDescent="0.25">
      <c r="A12" s="124" t="s">
        <v>126</v>
      </c>
      <c r="B12" s="440" t="s">
        <v>123</v>
      </c>
      <c r="C12" s="440"/>
      <c r="H12" s="128" t="str">
        <f>C19</f>
        <v>Nej</v>
      </c>
      <c r="I12">
        <v>5.2</v>
      </c>
      <c r="J12">
        <v>3.7</v>
      </c>
      <c r="L12">
        <v>5.2</v>
      </c>
      <c r="M12" t="s">
        <v>160</v>
      </c>
    </row>
    <row r="13" spans="1:19" ht="30" x14ac:dyDescent="0.25">
      <c r="A13" s="129" t="s">
        <v>127</v>
      </c>
      <c r="B13" s="126" t="s">
        <v>128</v>
      </c>
      <c r="C13" s="126" t="s">
        <v>129</v>
      </c>
      <c r="H13" s="128">
        <f>D19</f>
        <v>0</v>
      </c>
      <c r="I13" s="123">
        <v>2</v>
      </c>
      <c r="J13">
        <v>5.9</v>
      </c>
    </row>
    <row r="14" spans="1:19" x14ac:dyDescent="0.25">
      <c r="B14" s="130"/>
      <c r="C14" s="130"/>
    </row>
    <row r="15" spans="1:19" ht="45" x14ac:dyDescent="0.25">
      <c r="A15" s="148" t="s">
        <v>161</v>
      </c>
      <c r="B15" s="440" t="s">
        <v>123</v>
      </c>
      <c r="C15" s="440"/>
      <c r="S15">
        <f>T20*'Tiltag 4'!C21</f>
        <v>700000</v>
      </c>
    </row>
    <row r="16" spans="1:19" x14ac:dyDescent="0.25">
      <c r="B16" s="132" t="s">
        <v>162</v>
      </c>
      <c r="C16" s="132" t="s">
        <v>163</v>
      </c>
      <c r="D16" s="132" t="s">
        <v>164</v>
      </c>
      <c r="S16">
        <f>T21*'Tiltag 4'!C21</f>
        <v>700000</v>
      </c>
    </row>
    <row r="17" spans="1:20" x14ac:dyDescent="0.25">
      <c r="B17" s="126"/>
      <c r="C17" s="126"/>
      <c r="D17" s="132"/>
      <c r="L17" s="133"/>
    </row>
    <row r="18" spans="1:20" ht="30" x14ac:dyDescent="0.25">
      <c r="A18" s="148" t="s">
        <v>165</v>
      </c>
      <c r="B18" s="440" t="s">
        <v>123</v>
      </c>
      <c r="C18" s="440"/>
      <c r="D18" s="132"/>
    </row>
    <row r="19" spans="1:20" ht="15.75" thickBot="1" x14ac:dyDescent="0.3">
      <c r="B19" s="128" t="s">
        <v>8</v>
      </c>
      <c r="C19" s="126" t="s">
        <v>9</v>
      </c>
      <c r="D19" s="128"/>
      <c r="L19" s="150" t="s">
        <v>138</v>
      </c>
      <c r="M19" s="121"/>
      <c r="N19" s="440" t="s">
        <v>139</v>
      </c>
      <c r="O19" s="440"/>
      <c r="P19" s="440"/>
      <c r="Q19" s="440"/>
      <c r="S19" s="133" t="s">
        <v>166</v>
      </c>
    </row>
    <row r="20" spans="1:20" x14ac:dyDescent="0.25">
      <c r="B20" s="130"/>
      <c r="C20" s="130"/>
      <c r="L20" s="134"/>
      <c r="M20" s="135"/>
      <c r="N20" s="451" t="str">
        <f>B16</f>
        <v>Konventionel</v>
      </c>
      <c r="O20" s="451"/>
      <c r="P20" s="451" t="str">
        <f>B19</f>
        <v>Ja</v>
      </c>
      <c r="Q20" s="452"/>
      <c r="S20" s="7" t="str">
        <f>B16</f>
        <v>Konventionel</v>
      </c>
      <c r="T20" s="9">
        <v>0.7</v>
      </c>
    </row>
    <row r="21" spans="1:20" x14ac:dyDescent="0.25">
      <c r="B21" s="440" t="s">
        <v>123</v>
      </c>
      <c r="C21" s="440"/>
      <c r="L21" s="10" t="s">
        <v>141</v>
      </c>
      <c r="M21" s="136"/>
      <c r="N21" s="453">
        <v>2</v>
      </c>
      <c r="O21" s="453"/>
      <c r="P21" s="453"/>
      <c r="Q21" s="454"/>
      <c r="S21" s="10" t="s">
        <v>167</v>
      </c>
      <c r="T21" s="11">
        <v>0.7</v>
      </c>
    </row>
    <row r="22" spans="1:20" ht="30" x14ac:dyDescent="0.25">
      <c r="A22" s="129" t="s">
        <v>168</v>
      </c>
      <c r="B22" s="129" t="s">
        <v>169</v>
      </c>
      <c r="C22" s="149" t="s">
        <v>170</v>
      </c>
      <c r="D22" s="129" t="s">
        <v>171</v>
      </c>
      <c r="E22" s="129" t="s">
        <v>172</v>
      </c>
      <c r="F22" s="129" t="s">
        <v>173</v>
      </c>
      <c r="L22" s="10" t="s">
        <v>143</v>
      </c>
      <c r="M22" s="136"/>
      <c r="N22" s="453">
        <v>105</v>
      </c>
      <c r="O22" s="453"/>
      <c r="P22" s="453"/>
      <c r="Q22" s="454"/>
      <c r="S22" s="10" t="str">
        <f>C16</f>
        <v>Økologisk</v>
      </c>
      <c r="T22" s="11">
        <v>0.7</v>
      </c>
    </row>
    <row r="23" spans="1:20" ht="15.75" thickBot="1" x14ac:dyDescent="0.3">
      <c r="B23" s="130"/>
      <c r="C23" s="130"/>
      <c r="L23" s="12" t="s">
        <v>144</v>
      </c>
      <c r="M23" s="137"/>
      <c r="N23" s="455">
        <v>101</v>
      </c>
      <c r="O23" s="455"/>
      <c r="P23" s="455"/>
      <c r="Q23" s="456"/>
      <c r="S23" s="10" t="s">
        <v>167</v>
      </c>
      <c r="T23" s="11">
        <v>0.7</v>
      </c>
    </row>
    <row r="24" spans="1:20" x14ac:dyDescent="0.25">
      <c r="A24" s="138"/>
      <c r="B24" s="440" t="s">
        <v>123</v>
      </c>
      <c r="C24" s="440"/>
      <c r="L24" s="7"/>
      <c r="M24" s="8"/>
      <c r="N24" s="451" t="str">
        <f>C16</f>
        <v>Økologisk</v>
      </c>
      <c r="O24" s="451"/>
      <c r="P24" s="451" t="str">
        <f>C19</f>
        <v>Nej</v>
      </c>
      <c r="Q24" s="452"/>
      <c r="S24" s="10"/>
      <c r="T24" s="11"/>
    </row>
    <row r="25" spans="1:20" ht="34.5" thickBot="1" x14ac:dyDescent="0.3">
      <c r="A25" s="139" t="s">
        <v>174</v>
      </c>
      <c r="B25" s="126" t="s">
        <v>8</v>
      </c>
      <c r="C25" s="126" t="s">
        <v>9</v>
      </c>
      <c r="L25" s="10" t="s">
        <v>146</v>
      </c>
      <c r="M25" s="6"/>
      <c r="N25" s="453">
        <v>0.1</v>
      </c>
      <c r="O25" s="453"/>
      <c r="P25" s="453"/>
      <c r="Q25" s="454"/>
      <c r="S25" s="12"/>
      <c r="T25" s="14"/>
    </row>
    <row r="26" spans="1:20" ht="15.75" thickBot="1" x14ac:dyDescent="0.3">
      <c r="A26" s="138"/>
      <c r="B26" s="140"/>
      <c r="C26" s="140"/>
      <c r="L26" s="12" t="s">
        <v>147</v>
      </c>
      <c r="M26" s="13"/>
      <c r="N26" s="455">
        <v>0.32</v>
      </c>
      <c r="O26" s="455"/>
      <c r="P26" s="455"/>
      <c r="Q26" s="456"/>
    </row>
    <row r="27" spans="1:20" x14ac:dyDescent="0.25">
      <c r="B27" s="440" t="s">
        <v>123</v>
      </c>
      <c r="C27" s="440"/>
      <c r="L27" s="7"/>
      <c r="M27" s="135"/>
      <c r="N27" s="451" t="str">
        <f>D16</f>
        <v>Frilands</v>
      </c>
      <c r="O27" s="451"/>
      <c r="P27" s="451"/>
      <c r="Q27" s="452"/>
    </row>
    <row r="28" spans="1:20" ht="45" x14ac:dyDescent="0.25">
      <c r="A28" s="141" t="s">
        <v>175</v>
      </c>
      <c r="B28" s="128" t="s">
        <v>8</v>
      </c>
      <c r="C28" s="128" t="s">
        <v>176</v>
      </c>
      <c r="D28" s="142"/>
      <c r="L28" s="10" t="s">
        <v>150</v>
      </c>
      <c r="M28" s="6"/>
      <c r="N28" s="453">
        <v>11</v>
      </c>
      <c r="O28" s="453"/>
      <c r="P28" s="453"/>
      <c r="Q28" s="454"/>
    </row>
    <row r="29" spans="1:20" ht="15.75" thickBot="1" x14ac:dyDescent="0.3">
      <c r="L29" s="12" t="s">
        <v>151</v>
      </c>
      <c r="M29" s="13"/>
      <c r="N29" s="455">
        <v>2.2999999999999998</v>
      </c>
      <c r="O29" s="455"/>
      <c r="P29" s="455"/>
      <c r="Q29" s="456"/>
    </row>
    <row r="31" spans="1:20" ht="15.75" thickBot="1" x14ac:dyDescent="0.3">
      <c r="B31" t="s">
        <v>189</v>
      </c>
      <c r="C31" t="s">
        <v>190</v>
      </c>
      <c r="D31" t="s">
        <v>191</v>
      </c>
      <c r="L31" s="150" t="s">
        <v>138</v>
      </c>
      <c r="M31" s="121"/>
      <c r="N31" s="440" t="s">
        <v>152</v>
      </c>
      <c r="O31" s="440"/>
      <c r="P31" s="440"/>
      <c r="Q31" s="440"/>
      <c r="S31" s="133" t="s">
        <v>140</v>
      </c>
    </row>
    <row r="32" spans="1:20" x14ac:dyDescent="0.25">
      <c r="A32" t="s">
        <v>186</v>
      </c>
      <c r="B32">
        <f>'Tiltag 4'!C21</f>
        <v>1000000</v>
      </c>
      <c r="C32" t="str">
        <f>'Tiltag 4'!M21</f>
        <v>Ja</v>
      </c>
      <c r="D32">
        <f>IF(C$32="Ja",$T$21*B32)</f>
        <v>700000</v>
      </c>
      <c r="L32" s="134"/>
      <c r="M32" s="135"/>
      <c r="N32" s="451" t="str">
        <f>B16</f>
        <v>Konventionel</v>
      </c>
      <c r="O32" s="451"/>
      <c r="P32" s="451" t="str">
        <f>B19</f>
        <v>Ja</v>
      </c>
      <c r="Q32" s="452"/>
      <c r="S32" s="7" t="str">
        <f>B16</f>
        <v>Konventionel</v>
      </c>
      <c r="T32" s="9">
        <f>N34</f>
        <v>44</v>
      </c>
    </row>
    <row r="33" spans="1:20" x14ac:dyDescent="0.25">
      <c r="A33" t="s">
        <v>187</v>
      </c>
      <c r="B33" t="str">
        <f>'Tiltag 4'!D22</f>
        <v xml:space="preserve">  </v>
      </c>
      <c r="C33">
        <f>'Tiltag 4'!F22</f>
        <v>0</v>
      </c>
      <c r="D33" t="e">
        <f>IF(C$32="Ja",$T$21*B33)</f>
        <v>#VALUE!</v>
      </c>
      <c r="L33" s="10" t="s">
        <v>141</v>
      </c>
      <c r="M33" s="136"/>
      <c r="N33" s="453">
        <v>0</v>
      </c>
      <c r="O33" s="453"/>
      <c r="P33" s="453"/>
      <c r="Q33" s="454"/>
      <c r="S33" s="10" t="str">
        <f>B19</f>
        <v>Ja</v>
      </c>
      <c r="T33" s="11">
        <f>N34</f>
        <v>44</v>
      </c>
    </row>
    <row r="34" spans="1:20" ht="15.75" thickBot="1" x14ac:dyDescent="0.3">
      <c r="A34" t="s">
        <v>188</v>
      </c>
      <c r="B34">
        <f>'Tiltag 4'!D23</f>
        <v>0</v>
      </c>
      <c r="C34">
        <f>'Tiltag 4'!F23</f>
        <v>0</v>
      </c>
      <c r="D34">
        <f t="shared" ref="D34" si="0">IF(C$32="Ja",$T$21*B34)</f>
        <v>0</v>
      </c>
      <c r="L34" s="10" t="s">
        <v>143</v>
      </c>
      <c r="M34" s="136"/>
      <c r="N34" s="453">
        <v>44</v>
      </c>
      <c r="O34" s="453"/>
      <c r="P34" s="453"/>
      <c r="Q34" s="454"/>
      <c r="S34" s="10" t="str">
        <f>C16</f>
        <v>Økologisk</v>
      </c>
      <c r="T34" s="11">
        <f>N36</f>
        <v>2.2000000000000002</v>
      </c>
    </row>
    <row r="35" spans="1:20" x14ac:dyDescent="0.25">
      <c r="L35" s="7"/>
      <c r="M35" s="8"/>
      <c r="N35" s="451" t="str">
        <f>C16</f>
        <v>Økologisk</v>
      </c>
      <c r="O35" s="451"/>
      <c r="P35" s="451" t="str">
        <f>C19</f>
        <v>Nej</v>
      </c>
      <c r="Q35" s="452"/>
      <c r="S35" s="10" t="str">
        <f>C19</f>
        <v>Nej</v>
      </c>
      <c r="T35" s="11">
        <f>N36</f>
        <v>2.2000000000000002</v>
      </c>
    </row>
    <row r="36" spans="1:20" ht="15.75" thickBot="1" x14ac:dyDescent="0.3">
      <c r="L36" s="10" t="s">
        <v>146</v>
      </c>
      <c r="M36" s="6"/>
      <c r="N36" s="453">
        <v>2.2000000000000002</v>
      </c>
      <c r="O36" s="453"/>
      <c r="P36" s="453"/>
      <c r="Q36" s="454"/>
      <c r="S36" s="10" t="str">
        <f>D16</f>
        <v>Frilands</v>
      </c>
      <c r="T36" s="11">
        <f>N38</f>
        <v>1</v>
      </c>
    </row>
    <row r="37" spans="1:20" ht="15.75" thickBot="1" x14ac:dyDescent="0.3">
      <c r="L37" s="7"/>
      <c r="M37" s="135"/>
      <c r="N37" s="451" t="str">
        <f>D16</f>
        <v>Frilands</v>
      </c>
      <c r="O37" s="451"/>
      <c r="P37" s="451"/>
      <c r="Q37" s="452"/>
      <c r="S37" s="12">
        <f>D19</f>
        <v>0</v>
      </c>
      <c r="T37" s="14">
        <f>N38</f>
        <v>1</v>
      </c>
    </row>
    <row r="38" spans="1:20" ht="15.75" thickBot="1" x14ac:dyDescent="0.3">
      <c r="L38" s="12" t="s">
        <v>150</v>
      </c>
      <c r="M38" s="13"/>
      <c r="N38" s="455">
        <v>1</v>
      </c>
      <c r="O38" s="455"/>
      <c r="P38" s="455"/>
      <c r="Q38" s="456"/>
    </row>
    <row r="39" spans="1:20" ht="15.75" thickBot="1" x14ac:dyDescent="0.3"/>
    <row r="40" spans="1:20" ht="15.75" thickBot="1" x14ac:dyDescent="0.3">
      <c r="B40" t="s">
        <v>234</v>
      </c>
      <c r="L40" t="s">
        <v>205</v>
      </c>
      <c r="N40" t="s">
        <v>96</v>
      </c>
      <c r="P40" s="223" t="s">
        <v>225</v>
      </c>
      <c r="Q40" s="224" t="s">
        <v>96</v>
      </c>
    </row>
    <row r="41" spans="1:20" ht="30.75" thickBot="1" x14ac:dyDescent="0.3">
      <c r="B41" t="s">
        <v>128</v>
      </c>
      <c r="C41" t="s">
        <v>129</v>
      </c>
      <c r="L41" s="197" t="s">
        <v>206</v>
      </c>
      <c r="M41" s="210">
        <v>0.8</v>
      </c>
      <c r="N41" s="213" t="s">
        <v>212</v>
      </c>
      <c r="P41" s="225" t="s">
        <v>17</v>
      </c>
      <c r="Q41" s="226" t="s">
        <v>17</v>
      </c>
    </row>
    <row r="42" spans="1:20" ht="15.75" thickBot="1" x14ac:dyDescent="0.3">
      <c r="A42" t="s">
        <v>236</v>
      </c>
      <c r="B42">
        <f>'Tiltag 3'!I19</f>
        <v>0</v>
      </c>
      <c r="C42">
        <f>B42*L11</f>
        <v>0</v>
      </c>
      <c r="L42" s="199" t="s">
        <v>207</v>
      </c>
      <c r="M42" s="211">
        <v>0.9</v>
      </c>
      <c r="N42" s="213" t="s">
        <v>212</v>
      </c>
      <c r="P42" s="225" t="s">
        <v>226</v>
      </c>
      <c r="Q42" s="226" t="s">
        <v>226</v>
      </c>
    </row>
    <row r="43" spans="1:20" ht="15.75" thickBot="1" x14ac:dyDescent="0.3">
      <c r="L43" s="199" t="s">
        <v>5</v>
      </c>
      <c r="M43" s="212">
        <v>0.8</v>
      </c>
      <c r="N43" s="213" t="s">
        <v>213</v>
      </c>
      <c r="P43" s="225" t="s">
        <v>5</v>
      </c>
      <c r="Q43" s="226" t="s">
        <v>97</v>
      </c>
    </row>
    <row r="44" spans="1:20" ht="30.75" thickBot="1" x14ac:dyDescent="0.3">
      <c r="B44" t="s">
        <v>231</v>
      </c>
      <c r="C44" t="s">
        <v>243</v>
      </c>
      <c r="D44" t="s">
        <v>249</v>
      </c>
      <c r="E44" t="s">
        <v>251</v>
      </c>
      <c r="L44" s="199" t="s">
        <v>208</v>
      </c>
      <c r="M44" s="212">
        <v>0.8</v>
      </c>
      <c r="N44" s="213" t="s">
        <v>214</v>
      </c>
      <c r="P44" s="225" t="s">
        <v>214</v>
      </c>
      <c r="Q44" s="226" t="s">
        <v>214</v>
      </c>
    </row>
    <row r="45" spans="1:20" ht="15.75" thickBot="1" x14ac:dyDescent="0.3">
      <c r="B45" t="b">
        <f>'Tiltag 3'!I20</f>
        <v>0</v>
      </c>
      <c r="C45">
        <f>B45*T21</f>
        <v>0</v>
      </c>
      <c r="D45">
        <f>C45/M49</f>
        <v>0</v>
      </c>
      <c r="E45" s="15" t="e">
        <f>C45/M62</f>
        <v>#N/A</v>
      </c>
      <c r="L45" s="199" t="s">
        <v>209</v>
      </c>
      <c r="M45" s="212">
        <v>0.9</v>
      </c>
      <c r="N45" s="213" t="s">
        <v>214</v>
      </c>
      <c r="P45" t="s">
        <v>184</v>
      </c>
      <c r="Q45" t="s">
        <v>184</v>
      </c>
    </row>
    <row r="46" spans="1:20" ht="15.75" thickBot="1" x14ac:dyDescent="0.3">
      <c r="L46" s="199" t="s">
        <v>210</v>
      </c>
      <c r="M46" s="212">
        <v>0.7</v>
      </c>
      <c r="N46" s="213" t="s">
        <v>2</v>
      </c>
      <c r="P46" s="227" t="s">
        <v>2</v>
      </c>
      <c r="Q46" s="228" t="s">
        <v>2</v>
      </c>
    </row>
    <row r="47" spans="1:20" x14ac:dyDescent="0.25">
      <c r="P47" s="225"/>
      <c r="Q47" s="226"/>
    </row>
    <row r="48" spans="1:20" ht="15.75" thickBot="1" x14ac:dyDescent="0.3">
      <c r="P48" s="227" t="s">
        <v>2</v>
      </c>
      <c r="Q48" s="228" t="s">
        <v>2</v>
      </c>
    </row>
    <row r="49" spans="12:14" x14ac:dyDescent="0.25">
      <c r="L49" s="215" t="s">
        <v>228</v>
      </c>
      <c r="M49" s="235">
        <f>IF(AND('Tiltag 3'!I25&gt;999.999,OR('Tiltag 3'!I24=P41,'Tiltag 3'!I24=P42,'Tiltag 3'!I24=P44,'Tiltag 3'!I24=P45,)),M42,IF('Tiltag 3'!I24=P46,M46,0.8))</f>
        <v>0.8</v>
      </c>
    </row>
    <row r="50" spans="12:14" x14ac:dyDescent="0.25">
      <c r="L50" s="215" t="s">
        <v>240</v>
      </c>
      <c r="M50">
        <f>'Tiltag 3'!I25</f>
        <v>0</v>
      </c>
    </row>
    <row r="51" spans="12:14" x14ac:dyDescent="0.25">
      <c r="L51" s="215" t="s">
        <v>241</v>
      </c>
      <c r="M51">
        <f>'Tiltag 3'!I24</f>
        <v>0</v>
      </c>
    </row>
    <row r="54" spans="12:14" ht="15.75" thickBot="1" x14ac:dyDescent="0.3">
      <c r="L54" t="s">
        <v>211</v>
      </c>
    </row>
    <row r="55" spans="12:14" ht="15.75" thickBot="1" x14ac:dyDescent="0.3">
      <c r="L55" s="197" t="s">
        <v>89</v>
      </c>
      <c r="M55" s="214">
        <v>0.97</v>
      </c>
      <c r="N55" s="213" t="s">
        <v>214</v>
      </c>
    </row>
    <row r="56" spans="12:14" ht="15.75" thickBot="1" x14ac:dyDescent="0.3">
      <c r="L56" s="199" t="s">
        <v>90</v>
      </c>
      <c r="M56" s="212">
        <v>0.96</v>
      </c>
      <c r="N56" s="213" t="s">
        <v>214</v>
      </c>
    </row>
    <row r="57" spans="12:14" ht="15.75" thickBot="1" x14ac:dyDescent="0.3">
      <c r="L57" s="199" t="s">
        <v>94</v>
      </c>
      <c r="M57" s="212">
        <v>0.88</v>
      </c>
      <c r="N57" s="213" t="s">
        <v>2</v>
      </c>
    </row>
    <row r="58" spans="12:14" ht="15.75" thickBot="1" x14ac:dyDescent="0.3">
      <c r="L58" s="199" t="s">
        <v>52</v>
      </c>
      <c r="M58" s="212">
        <v>1</v>
      </c>
      <c r="N58" s="213" t="s">
        <v>105</v>
      </c>
    </row>
    <row r="59" spans="12:14" ht="15.75" thickBot="1" x14ac:dyDescent="0.3">
      <c r="L59" s="199" t="s">
        <v>35</v>
      </c>
      <c r="M59" s="212">
        <v>1</v>
      </c>
      <c r="N59" s="213" t="s">
        <v>35</v>
      </c>
    </row>
    <row r="60" spans="12:14" ht="15.75" thickBot="1" x14ac:dyDescent="0.3">
      <c r="L60" s="199" t="s">
        <v>34</v>
      </c>
      <c r="M60" s="212">
        <v>3.5</v>
      </c>
      <c r="N60" s="213" t="s">
        <v>105</v>
      </c>
    </row>
    <row r="62" spans="12:14" x14ac:dyDescent="0.25">
      <c r="L62" s="215" t="s">
        <v>228</v>
      </c>
      <c r="M62" s="235" t="e">
        <f>VLOOKUP('Tiltag 3'!I28,L55:N60,2,FALSE)</f>
        <v>#N/A</v>
      </c>
    </row>
    <row r="63" spans="12:14" x14ac:dyDescent="0.25">
      <c r="L63" s="215" t="s">
        <v>240</v>
      </c>
      <c r="M63">
        <f>'Tiltag 3'!I29</f>
        <v>0</v>
      </c>
    </row>
    <row r="64" spans="12:14" x14ac:dyDescent="0.25">
      <c r="L64" s="215" t="s">
        <v>241</v>
      </c>
      <c r="M64">
        <f>'Tiltag 3'!I28</f>
        <v>0</v>
      </c>
    </row>
    <row r="65" spans="12:14" x14ac:dyDescent="0.25">
      <c r="L65" s="213" t="s">
        <v>0</v>
      </c>
      <c r="M65" t="s">
        <v>221</v>
      </c>
      <c r="N65" s="213" t="s">
        <v>222</v>
      </c>
    </row>
    <row r="66" spans="12:14" x14ac:dyDescent="0.25">
      <c r="L66" s="213" t="str">
        <f>+P48</f>
        <v>Halm</v>
      </c>
      <c r="M66">
        <v>1000</v>
      </c>
      <c r="N66" s="222">
        <f>+M46</f>
        <v>0.7</v>
      </c>
    </row>
    <row r="67" spans="12:14" x14ac:dyDescent="0.25">
      <c r="L67" s="213" t="s">
        <v>5</v>
      </c>
      <c r="N67" s="222">
        <v>0.8</v>
      </c>
    </row>
    <row r="68" spans="12:14" x14ac:dyDescent="0.25">
      <c r="L68" s="213" t="s">
        <v>17</v>
      </c>
      <c r="M68">
        <v>1000</v>
      </c>
      <c r="N68" s="222">
        <v>0.8</v>
      </c>
    </row>
    <row r="69" spans="12:14" x14ac:dyDescent="0.25">
      <c r="L69" s="213" t="s">
        <v>224</v>
      </c>
      <c r="N69" s="222">
        <v>0.9</v>
      </c>
    </row>
  </sheetData>
  <mergeCells count="31">
    <mergeCell ref="N38:Q38"/>
    <mergeCell ref="N28:Q28"/>
    <mergeCell ref="N29:Q29"/>
    <mergeCell ref="N31:Q31"/>
    <mergeCell ref="N32:O32"/>
    <mergeCell ref="P32:Q32"/>
    <mergeCell ref="N33:Q33"/>
    <mergeCell ref="N34:Q34"/>
    <mergeCell ref="N35:O35"/>
    <mergeCell ref="P35:Q35"/>
    <mergeCell ref="N36:Q36"/>
    <mergeCell ref="N37:Q37"/>
    <mergeCell ref="B27:C27"/>
    <mergeCell ref="N27:Q27"/>
    <mergeCell ref="N20:O20"/>
    <mergeCell ref="P20:Q20"/>
    <mergeCell ref="B21:C21"/>
    <mergeCell ref="N21:Q21"/>
    <mergeCell ref="N22:Q22"/>
    <mergeCell ref="N23:Q23"/>
    <mergeCell ref="B24:C24"/>
    <mergeCell ref="N24:O24"/>
    <mergeCell ref="P24:Q24"/>
    <mergeCell ref="N25:Q25"/>
    <mergeCell ref="N26:Q26"/>
    <mergeCell ref="N19:Q19"/>
    <mergeCell ref="A1:C1"/>
    <mergeCell ref="B9:C9"/>
    <mergeCell ref="B12:C12"/>
    <mergeCell ref="B15:C15"/>
    <mergeCell ref="B18:C1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Filtype xmlns="b1cfadd8-d294-4d34-bc36-10edd03a80b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28" ma:contentTypeDescription="Opret et nyt dokument." ma:contentTypeScope="" ma:versionID="7038ba0c97d74ba78a46ea5fb1ab7418">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91df54bf965dc9754d60b2dcaf88e71c"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CA8905-C5F9-46BC-9393-9F2AC5F511EC}">
  <ds:schemaRefs>
    <ds:schemaRef ds:uri="http://purl.org/dc/terms/"/>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microsoft.com/sharepoint/v3"/>
    <ds:schemaRef ds:uri="http://purl.org/dc/dcmitype/"/>
    <ds:schemaRef ds:uri="http://purl.org/dc/elements/1.1/"/>
    <ds:schemaRef ds:uri="http://schemas.openxmlformats.org/package/2006/metadata/core-properties"/>
    <ds:schemaRef ds:uri="57e246f5-a181-4ddd-bcfa-8f2bd33c0c9c"/>
    <ds:schemaRef ds:uri="b1cfadd8-d294-4d34-bc36-10edd03a80b3"/>
  </ds:schemaRefs>
</ds:datastoreItem>
</file>

<file path=customXml/itemProps2.xml><?xml version="1.0" encoding="utf-8"?>
<ds:datastoreItem xmlns:ds="http://schemas.openxmlformats.org/officeDocument/2006/customXml" ds:itemID="{571629B0-C235-4010-A081-6331E51E17A8}">
  <ds:schemaRefs>
    <ds:schemaRef ds:uri="http://schemas.microsoft.com/sharepoint/v3/contenttype/forms"/>
  </ds:schemaRefs>
</ds:datastoreItem>
</file>

<file path=customXml/itemProps3.xml><?xml version="1.0" encoding="utf-8"?>
<ds:datastoreItem xmlns:ds="http://schemas.openxmlformats.org/officeDocument/2006/customXml" ds:itemID="{8B8BFF08-D3AC-4DD4-A89C-41B6A145A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cfadd8-d294-4d34-bc36-10edd03a80b3"/>
    <ds:schemaRef ds:uri="57e246f5-a181-4ddd-bcfa-8f2bd33c0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Navngivne områder</vt:lpstr>
      </vt:variant>
      <vt:variant>
        <vt:i4>2</vt:i4>
      </vt:variant>
    </vt:vector>
  </HeadingPairs>
  <TitlesOfParts>
    <vt:vector size="11" baseType="lpstr">
      <vt:lpstr>Forside</vt:lpstr>
      <vt:lpstr>Beskrivelse</vt:lpstr>
      <vt:lpstr>Tiltag 1</vt:lpstr>
      <vt:lpstr>Tiltag 4</vt:lpstr>
      <vt:lpstr>Tiltag 2</vt:lpstr>
      <vt:lpstr>Tiltag 3</vt:lpstr>
      <vt:lpstr>Nøgletal</vt:lpstr>
      <vt:lpstr>Grise - regneark</vt:lpstr>
      <vt:lpstr>Kyllinge - regneark</vt:lpstr>
      <vt:lpstr>Nøgletal!_ftn1</vt:lpstr>
      <vt:lpstr>Nøgletal!_ftnref1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Standardløsning for varmeforsyning</dc:title>
  <dc:creator/>
  <cp:lastModifiedBy/>
  <dcterms:created xsi:type="dcterms:W3CDTF">2015-06-05T18:19:34Z</dcterms:created>
  <dcterms:modified xsi:type="dcterms:W3CDTF">2025-07-09T10:56:47Z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MediaServiceImageTags">
    <vt:lpwstr/>
  </property>
</Properties>
</file>